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lsrvcdf" ContentType="image/p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827"/>
  <workbookPr/>
  <mc:AlternateContent xmlns:mc="http://schemas.openxmlformats.org/markup-compatibility/2006">
    <mc:Choice Requires="x15">
      <x15ac:absPath xmlns:x15ac="http://schemas.microsoft.com/office/spreadsheetml/2010/11/ac" url="D:\Google Drive MPF\Meu Drive\Documents\0 - SLDE\2025\Pregão\Pregão SRP 90002_2025 - Terceirização\Edital\Edital e anexos\ANEXO III - MODELO PROPOSTA E PLANILHA DE CUSTOS\"/>
    </mc:Choice>
  </mc:AlternateContent>
  <xr:revisionPtr revIDLastSave="0" documentId="13_ncr:1_{A5A9773C-519D-480C-8957-AD31519B682C}" xr6:coauthVersionLast="47" xr6:coauthVersionMax="47" xr10:uidLastSave="{00000000-0000-0000-0000-000000000000}"/>
  <bookViews>
    <workbookView xWindow="28680" yWindow="-120" windowWidth="20730" windowHeight="11040" tabRatio="934" xr2:uid="{00000000-000D-0000-FFFF-FFFF00000000}"/>
  </bookViews>
  <sheets>
    <sheet name="INSTRUÇOES PARA PREENCHIMENTO" sheetId="32" r:id="rId1"/>
    <sheet name="Proposta de Preços" sheetId="30" r:id="rId2"/>
    <sheet name="NP" sheetId="2" r:id="rId3"/>
    <sheet name="PC" sheetId="3" r:id="rId4"/>
    <sheet name="Salários.VA.VT.QteDias" sheetId="4" r:id="rId5"/>
    <sheet name="Gás" sheetId="5" r:id="rId6"/>
    <sheet name="GA" sheetId="6" r:id="rId7"/>
    <sheet name="MLHCC - Ônus da Contratada" sheetId="31" r:id="rId8"/>
    <sheet name="MCC - Sob Demanda" sheetId="7" r:id="rId9"/>
    <sheet name="MLPH" sheetId="8" r:id="rId10"/>
    <sheet name="Unif" sheetId="9" r:id="rId11"/>
    <sheet name="EPI´s - LC" sheetId="11" r:id="rId12"/>
    <sheet name="AAII" sheetId="21" r:id="rId13"/>
    <sheet name="SLCeCopeiragem" sheetId="26" r:id="rId14"/>
  </sheets>
  <externalReferences>
    <externalReference r:id="rId15"/>
    <externalReference r:id="rId16"/>
    <externalReference r:id="rId17"/>
  </externalReferences>
  <definedNames>
    <definedName name="_xlnm.Print_Area" localSheetId="0">'INSTRUÇOES PARA PREENCHIMENTO'!$A$1:$J$25</definedName>
    <definedName name="CATEGORIA_PROFISSIONAL">'[1]INSERÇÃO-DE-DADOS'!$D$23</definedName>
    <definedName name="DATA_APRESENTACAO_PROPOSTA">'[1]INSERÇÃO-DE-DADOS'!$F$11</definedName>
    <definedName name="DATA_DO_ORCAMENTO_ESTIMATIVO">'[1]INSERÇÃO-DE-DADOS'!$F$2</definedName>
    <definedName name="DIAS_AUSENCIAS_LEGAIS">'[2]DADOS-ESTATISTICOS'!$F$27</definedName>
    <definedName name="DIAS_LICENCA_MATERNIDADE">'[2]DADOS-ESTATISTICOS'!$F$33</definedName>
    <definedName name="DIAS_LICENCA_PATERNIDADE">'[2]DADOS-ESTATISTICOS'!$F$28</definedName>
    <definedName name="DIAS_NA_SEMANA">'[2]DADOS-ESTATISTICOS'!$F$5</definedName>
    <definedName name="DIAS_NO_MES">'[2]DADOS-ESTATISTICOS'!$F$22</definedName>
    <definedName name="DIAS_PAGOS_EMPRESA_ACID_TRAB">'[2]DADOS-ESTATISTICOS'!$F$32</definedName>
    <definedName name="DIAS_TRABALHADOS_NO_MES">'[1]INSERÇÃO-DE-DADOS'!$F$43</definedName>
    <definedName name="EMPREG_POR_POSTO">'[1]INSERÇÃO-DE-DADOS'!$E$19</definedName>
    <definedName name="LOCAL_DE_EXECUCAO">'[1]INSERÇÃO-DE-DADOS'!$D$12</definedName>
    <definedName name="MESES_NO_ANO">'[2]DADOS-ESTATISTICOS'!$F$8</definedName>
    <definedName name="MODALIDADE_DE_LICITACAO">'[3]INSERÇÃO-DE-DADOS'!$D$7</definedName>
    <definedName name="NUMERO_MESES_EXEC_CONTRATUAL">'[1]INSERÇÃO-DE-DADOS'!$F$15</definedName>
    <definedName name="NUMERO_PREGAO">'[3]INSERÇÃO-DE-DADOS'!$F$7</definedName>
    <definedName name="NUMERO_PROCESSO">'[3]INSERÇÃO-DE-DADOS'!$D$6</definedName>
    <definedName name="OUTRAS_AUSENCIAS_DESCRICAO">'[1]INSERÇÃO-DE-DADOS'!$C$51</definedName>
    <definedName name="OUTROS_BENEFICIOS_1_DESCRICAO">'[1]INSERÇÃO-DE-DADOS'!$C$44</definedName>
    <definedName name="OUTROS_BENEFICIOS_2">'[1]INSERÇÃO-DE-DADOS'!$F$45</definedName>
    <definedName name="OUTROS_BENEFICIOS_2_DESCRICAO">'[1]INSERÇÃO-DE-DADOS'!$C$45</definedName>
    <definedName name="OUTROS_BENEFICIOS_3">'[1]INSERÇÃO-DE-DADOS'!$F$46</definedName>
    <definedName name="OUTROS_BENEFICIOS_3_DESCRICAO">'[1]INSERÇÃO-DE-DADOS'!$C$46</definedName>
    <definedName name="OUTROS_REMUNERACAO_1">'[1]INSERÇÃO-DE-DADOS'!$F$34</definedName>
    <definedName name="OUTROS_REMUNERACAO_1_DESCRICAO">'[1]INSERÇÃO-DE-DADOS'!$C$34</definedName>
    <definedName name="OUTROS_REMUNERACAO_2">'[1]INSERÇÃO-DE-DADOS'!$F$35</definedName>
    <definedName name="OUTROS_REMUNERACAO_2_DESCRICAO">'[1]INSERÇÃO-DE-DADOS'!$C$35:$E$35</definedName>
    <definedName name="OUTROS_REMUNERACAO_3">'[1]INSERÇÃO-DE-DADOS'!$F$36</definedName>
    <definedName name="OUTROS_REMUNERACAO_3_DESCRICAO">'[1]INSERÇÃO-DE-DADOS'!$C$36:$E$36</definedName>
    <definedName name="PERC_ADIC_INS">'[1]INSERÇÃO-DE-DADOS'!$F$33</definedName>
    <definedName name="PERC_ADIC_NOT">'[1]INSERÇÃO-DE-DADOS'!$F$32</definedName>
    <definedName name="PERC_ADIC_PERIC">'[1]INSERÇÃO-DE-DADOS'!$F$31</definedName>
    <definedName name="PERC_AVISO_PREVIO_TRAB">'[1]ENCARGOS-SOCIAIS-E-TRABALHISTAS'!$E$21</definedName>
    <definedName name="PERC_COFINS">'[1]INSERÇÃO-DE-DADOS'!$F$70</definedName>
    <definedName name="PERC_CUSTOS_INDIRETOS">'[1]INSERÇÃO-DE-DADOS'!$F$67</definedName>
    <definedName name="PERC_EMPREG_AFAST_TRAB">'[2]DADOS-ESTATISTICOS'!$F$31</definedName>
    <definedName name="PERC_EMPREG_AVISO_PREVIO_IND">'[2]DADOS-ESTATISTICOS'!$F$19</definedName>
    <definedName name="PERC_EMPREG_AVISO_PREVIO_TRAB">'[2]DADOS-ESTATISTICOS'!$F$21</definedName>
    <definedName name="PERC_EMPREG_DEMIT_SEM_JUSTA_CAUSA_TOTAL_DESLIG">'[2]DADOS-ESTATISTICOS'!$F$18</definedName>
    <definedName name="PERC_FGTS">'[1]ENCARGOS-SOCIAIS-E-TRABALHISTAS'!$E$16</definedName>
    <definedName name="PERC_GPS_FGTS">'[1]ENCARGOS-SOCIAIS-E-TRABALHISTAS'!$E$17</definedName>
    <definedName name="PERC_HORA_EXTRA">'[1]INSERÇÃO-DE-DADOS'!$F$55</definedName>
    <definedName name="PERC_ISS">'[1]INSERÇÃO-DE-DADOS'!$F$71</definedName>
    <definedName name="PERC_LUCRO">'[1]INSERÇÃO-DE-DADOS'!$F$68</definedName>
    <definedName name="PERC_MULTA_FGTS">'[2]DADOS-ESTATISTICOS'!$F$20</definedName>
    <definedName name="PERC_NASCIDOS_VIVOS_POPUL_FEM">'[2]DADOS-ESTATISTICOS'!$F$29</definedName>
    <definedName name="PERC_PARTIC_FEM_VIGIL">'[2]DADOS-ESTATISTICOS'!$F$34</definedName>
    <definedName name="PERC_PARTIC_MASC_VIGIL">'[2]DADOS-ESTATISTICOS'!$F$30</definedName>
    <definedName name="PERC_PIS">'[1]INSERÇÃO-DE-DADOS'!$F$69</definedName>
    <definedName name="PERC_SUBSTITUTO_OUTRAS_AUSENCIAS">'[1]INSERÇÃO-DE-DADOS'!$F$51</definedName>
    <definedName name="Print_Area" localSheetId="0">'INSTRUÇOES PARA PREENCHIMENTO'!$A$1:$J$20</definedName>
    <definedName name="RAMO">'[1]INSERÇÃO-DE-DADOS'!$B$1</definedName>
    <definedName name="SAL_MINIMO">'[1]INSERÇÃO-DE-DADOS'!$F$25</definedName>
    <definedName name="SALARIO_BASE">'[1]INSERÇÃO-DE-DADOS'!$F$30</definedName>
    <definedName name="TEMPO_INTERVALO_REFEICAO">'[1]INSERÇÃO-DE-DADOS'!$F$56</definedName>
    <definedName name="TRANSPORTE_POR_DIA">'[1]INSERÇÃO-DE-DADOS'!$F$41</definedName>
    <definedName name="UG">'[1]INSERÇÃO-DE-DADOS'!$B$2</definedName>
  </definedNames>
  <calcPr calcId="191028" iterateDelta="1E-4"/>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47" i="26" l="1"/>
  <c r="E47" i="21"/>
  <c r="E120" i="26"/>
  <c r="E120" i="21"/>
  <c r="E119" i="26"/>
  <c r="E119" i="21"/>
  <c r="F14" i="7" l="1"/>
  <c r="F15" i="7"/>
  <c r="F26" i="7"/>
  <c r="F27" i="7"/>
  <c r="F37" i="7"/>
  <c r="F39" i="7"/>
  <c r="F48" i="7"/>
  <c r="F49" i="7"/>
  <c r="F51" i="7"/>
  <c r="F61" i="7"/>
  <c r="F3" i="7"/>
  <c r="E4" i="7"/>
  <c r="F4" i="7" s="1"/>
  <c r="E9" i="7"/>
  <c r="F9" i="7" s="1"/>
  <c r="E10" i="7"/>
  <c r="F10" i="7" s="1"/>
  <c r="E11" i="7"/>
  <c r="F11" i="7" s="1"/>
  <c r="E12" i="7"/>
  <c r="F12" i="7" s="1"/>
  <c r="E13" i="7"/>
  <c r="F13" i="7" s="1"/>
  <c r="E14" i="7"/>
  <c r="E15" i="7"/>
  <c r="E16" i="7"/>
  <c r="F16" i="7" s="1"/>
  <c r="E21" i="7"/>
  <c r="F21" i="7" s="1"/>
  <c r="E22" i="7"/>
  <c r="F22" i="7" s="1"/>
  <c r="E23" i="7"/>
  <c r="F23" i="7" s="1"/>
  <c r="E24" i="7"/>
  <c r="F24" i="7" s="1"/>
  <c r="E25" i="7"/>
  <c r="F25" i="7" s="1"/>
  <c r="E26" i="7"/>
  <c r="E27" i="7"/>
  <c r="E28" i="7"/>
  <c r="F28" i="7" s="1"/>
  <c r="E33" i="7"/>
  <c r="F33" i="7" s="1"/>
  <c r="E34" i="7"/>
  <c r="F34" i="7" s="1"/>
  <c r="E35" i="7"/>
  <c r="F35" i="7" s="1"/>
  <c r="E36" i="7"/>
  <c r="F36" i="7" s="1"/>
  <c r="E37" i="7"/>
  <c r="E38" i="7"/>
  <c r="F38" i="7" s="1"/>
  <c r="E39" i="7"/>
  <c r="E40" i="7"/>
  <c r="F40" i="7" s="1"/>
  <c r="E45" i="7"/>
  <c r="F45" i="7" s="1"/>
  <c r="E46" i="7"/>
  <c r="F46" i="7" s="1"/>
  <c r="E47" i="7"/>
  <c r="F47" i="7" s="1"/>
  <c r="E48" i="7"/>
  <c r="E49" i="7"/>
  <c r="E50" i="7"/>
  <c r="F50" i="7" s="1"/>
  <c r="E51" i="7"/>
  <c r="E52" i="7"/>
  <c r="F52" i="7" s="1"/>
  <c r="E57" i="7"/>
  <c r="F57" i="7" s="1"/>
  <c r="E58" i="7"/>
  <c r="F58" i="7" s="1"/>
  <c r="E59" i="7"/>
  <c r="F59" i="7" s="1"/>
  <c r="E60" i="7"/>
  <c r="F60" i="7" s="1"/>
  <c r="E61" i="7"/>
  <c r="E3" i="7"/>
  <c r="F4" i="6"/>
  <c r="F5" i="6"/>
  <c r="E4" i="6"/>
  <c r="E5" i="6"/>
  <c r="E6" i="6"/>
  <c r="F6" i="6" s="1"/>
  <c r="E7" i="6"/>
  <c r="F7" i="6" s="1"/>
  <c r="E8" i="6"/>
  <c r="F8" i="6" s="1"/>
  <c r="E3" i="6"/>
  <c r="F3" i="6" s="1"/>
  <c r="G3" i="5"/>
  <c r="H3" i="5" s="1"/>
  <c r="D56" i="4"/>
  <c r="D48" i="4"/>
  <c r="E5" i="7" s="1"/>
  <c r="F5" i="7" s="1"/>
  <c r="E56" i="7" l="1"/>
  <c r="F56" i="7" s="1"/>
  <c r="E44" i="7"/>
  <c r="F44" i="7" s="1"/>
  <c r="E20" i="7"/>
  <c r="F20" i="7" s="1"/>
  <c r="E8" i="7"/>
  <c r="F8" i="7" s="1"/>
  <c r="E32" i="7"/>
  <c r="F32" i="7" s="1"/>
  <c r="E55" i="7"/>
  <c r="F55" i="7" s="1"/>
  <c r="E43" i="7"/>
  <c r="F43" i="7" s="1"/>
  <c r="E31" i="7"/>
  <c r="F31" i="7" s="1"/>
  <c r="E19" i="7"/>
  <c r="F19" i="7" s="1"/>
  <c r="E7" i="7"/>
  <c r="F7" i="7" s="1"/>
  <c r="E54" i="7"/>
  <c r="F54" i="7" s="1"/>
  <c r="E42" i="7"/>
  <c r="F42" i="7" s="1"/>
  <c r="E30" i="7"/>
  <c r="F30" i="7" s="1"/>
  <c r="E18" i="7"/>
  <c r="F18" i="7" s="1"/>
  <c r="E6" i="7"/>
  <c r="F6" i="7" s="1"/>
  <c r="E53" i="7"/>
  <c r="F53" i="7" s="1"/>
  <c r="E41" i="7"/>
  <c r="F41" i="7" s="1"/>
  <c r="E29" i="7"/>
  <c r="F29" i="7" s="1"/>
  <c r="E17" i="7"/>
  <c r="F17" i="7" s="1"/>
  <c r="F65" i="21"/>
  <c r="E65" i="21"/>
  <c r="F114" i="26"/>
  <c r="E97" i="26"/>
  <c r="E96" i="26"/>
  <c r="E95" i="26"/>
  <c r="E94" i="26"/>
  <c r="E87" i="26"/>
  <c r="E86" i="26"/>
  <c r="E85" i="26"/>
  <c r="E84" i="26"/>
  <c r="E83" i="26"/>
  <c r="E82" i="26"/>
  <c r="D65" i="26"/>
  <c r="D63" i="26"/>
  <c r="B63" i="26"/>
  <c r="E46" i="26"/>
  <c r="E97" i="21"/>
  <c r="E96" i="21"/>
  <c r="E95" i="21"/>
  <c r="E94" i="21"/>
  <c r="E87" i="21"/>
  <c r="E86" i="21"/>
  <c r="E85" i="21"/>
  <c r="E84" i="21"/>
  <c r="E83" i="21"/>
  <c r="E82" i="21"/>
  <c r="D65" i="21"/>
  <c r="D63" i="21"/>
  <c r="B65" i="21"/>
  <c r="B63" i="21"/>
  <c r="E46" i="21"/>
  <c r="E8" i="11"/>
  <c r="I33" i="9"/>
  <c r="H33" i="9"/>
  <c r="I32" i="9"/>
  <c r="H32" i="9"/>
  <c r="H31" i="9"/>
  <c r="I31" i="9" s="1"/>
  <c r="I30" i="9"/>
  <c r="H30" i="9"/>
  <c r="H29" i="9"/>
  <c r="I29" i="9" s="1"/>
  <c r="H18" i="9"/>
  <c r="I18" i="9" s="1"/>
  <c r="I17" i="9"/>
  <c r="H17" i="9"/>
  <c r="I16" i="9"/>
  <c r="H16" i="9"/>
  <c r="H15" i="9"/>
  <c r="I15" i="9" s="1"/>
  <c r="I14" i="9"/>
  <c r="H14" i="9"/>
  <c r="H9" i="9"/>
  <c r="I9" i="9" s="1"/>
  <c r="H8" i="9"/>
  <c r="I8" i="9" s="1"/>
  <c r="I7" i="9"/>
  <c r="H7" i="9"/>
  <c r="I6" i="9"/>
  <c r="H6" i="9"/>
  <c r="H5" i="9"/>
  <c r="I5" i="9" s="1"/>
  <c r="I4" i="9"/>
  <c r="H4" i="9"/>
  <c r="D89" i="8"/>
  <c r="G86" i="8"/>
  <c r="G85" i="8"/>
  <c r="G84" i="8"/>
  <c r="G83" i="8"/>
  <c r="G82" i="8"/>
  <c r="G81" i="8"/>
  <c r="G80" i="8"/>
  <c r="G79" i="8"/>
  <c r="G78" i="8"/>
  <c r="G77" i="8"/>
  <c r="G76" i="8"/>
  <c r="G75" i="8"/>
  <c r="G74" i="8"/>
  <c r="G73" i="8"/>
  <c r="G72" i="8"/>
  <c r="G71" i="8"/>
  <c r="G70" i="8"/>
  <c r="G69" i="8"/>
  <c r="G68" i="8"/>
  <c r="G67" i="8"/>
  <c r="G66" i="8"/>
  <c r="G65" i="8"/>
  <c r="G64" i="8"/>
  <c r="G63" i="8"/>
  <c r="G62" i="8"/>
  <c r="G61" i="8"/>
  <c r="G60" i="8"/>
  <c r="G59" i="8"/>
  <c r="G58" i="8"/>
  <c r="G57" i="8"/>
  <c r="G56" i="8"/>
  <c r="G55" i="8"/>
  <c r="G54" i="8"/>
  <c r="G53" i="8"/>
  <c r="G52" i="8"/>
  <c r="G51" i="8"/>
  <c r="G50" i="8"/>
  <c r="G49" i="8"/>
  <c r="G48" i="8"/>
  <c r="G47" i="8"/>
  <c r="G46" i="8"/>
  <c r="G45" i="8"/>
  <c r="G44" i="8"/>
  <c r="G43" i="8"/>
  <c r="G42" i="8"/>
  <c r="G41" i="8"/>
  <c r="G40" i="8"/>
  <c r="G39" i="8"/>
  <c r="G38" i="8"/>
  <c r="G37" i="8"/>
  <c r="G36" i="8"/>
  <c r="G35" i="8"/>
  <c r="G34" i="8"/>
  <c r="G33" i="8"/>
  <c r="G32" i="8"/>
  <c r="G31" i="8"/>
  <c r="G30" i="8"/>
  <c r="G29" i="8"/>
  <c r="G28" i="8"/>
  <c r="G27" i="8"/>
  <c r="G26" i="8"/>
  <c r="G25" i="8"/>
  <c r="G24" i="8"/>
  <c r="G23" i="8"/>
  <c r="G22" i="8"/>
  <c r="G21" i="8"/>
  <c r="G20" i="8"/>
  <c r="G19" i="8"/>
  <c r="G18" i="8"/>
  <c r="G17" i="8"/>
  <c r="G16" i="8"/>
  <c r="G15" i="8"/>
  <c r="G14" i="8"/>
  <c r="G13" i="8"/>
  <c r="G12" i="8"/>
  <c r="G11" i="8"/>
  <c r="G10" i="8"/>
  <c r="G9" i="8"/>
  <c r="G8" i="8"/>
  <c r="G7" i="8"/>
  <c r="G6" i="8"/>
  <c r="G5" i="8"/>
  <c r="G4" i="8"/>
  <c r="G3" i="8"/>
  <c r="G89" i="8" s="1"/>
  <c r="F91" i="8" s="1"/>
  <c r="D64" i="7"/>
  <c r="G60" i="7"/>
  <c r="J60" i="7" s="1"/>
  <c r="G59" i="7"/>
  <c r="J59" i="7" s="1"/>
  <c r="G57" i="7"/>
  <c r="J57" i="7" s="1"/>
  <c r="G56" i="7"/>
  <c r="J56" i="7" s="1"/>
  <c r="G53" i="7"/>
  <c r="J53" i="7" s="1"/>
  <c r="G51" i="7"/>
  <c r="J51" i="7" s="1"/>
  <c r="G50" i="7"/>
  <c r="J50" i="7" s="1"/>
  <c r="G48" i="7"/>
  <c r="J48" i="7" s="1"/>
  <c r="G45" i="7"/>
  <c r="J45" i="7" s="1"/>
  <c r="G39" i="7"/>
  <c r="J39" i="7" s="1"/>
  <c r="G36" i="7"/>
  <c r="J36" i="7" s="1"/>
  <c r="G33" i="7"/>
  <c r="J33" i="7" s="1"/>
  <c r="G30" i="7"/>
  <c r="J30" i="7" s="1"/>
  <c r="G27" i="7"/>
  <c r="J27" i="7" s="1"/>
  <c r="G24" i="7"/>
  <c r="J24" i="7" s="1"/>
  <c r="G21" i="7"/>
  <c r="J21" i="7" s="1"/>
  <c r="G18" i="7"/>
  <c r="J18" i="7" s="1"/>
  <c r="G12" i="7"/>
  <c r="J12" i="7" s="1"/>
  <c r="G9" i="7"/>
  <c r="J9" i="7" s="1"/>
  <c r="G17" i="31"/>
  <c r="G19" i="31" s="1"/>
  <c r="D17" i="31"/>
  <c r="G8" i="6"/>
  <c r="J8" i="6" s="1"/>
  <c r="K8" i="6" s="1"/>
  <c r="D19" i="4"/>
  <c r="C19" i="4"/>
  <c r="B65" i="26" s="1"/>
  <c r="D3" i="4"/>
  <c r="C3" i="4"/>
  <c r="D37" i="30"/>
  <c r="D36" i="30"/>
  <c r="E125" i="26"/>
  <c r="E125" i="21"/>
  <c r="E88" i="21"/>
  <c r="E59" i="26"/>
  <c r="E65" i="26" l="1"/>
  <c r="F65" i="26" s="1"/>
  <c r="G54" i="7"/>
  <c r="J54" i="7" s="1"/>
  <c r="G42" i="7"/>
  <c r="J42" i="7" s="1"/>
  <c r="G3" i="6"/>
  <c r="J3" i="6" s="1"/>
  <c r="K3" i="6" s="1"/>
  <c r="E99" i="26"/>
  <c r="E88" i="26"/>
  <c r="D38" i="30"/>
  <c r="G15" i="7"/>
  <c r="J15" i="7" s="1"/>
  <c r="G3" i="7"/>
  <c r="F64" i="7"/>
  <c r="G7" i="7"/>
  <c r="J7" i="7" s="1"/>
  <c r="G10" i="7"/>
  <c r="J10" i="7" s="1"/>
  <c r="G13" i="7"/>
  <c r="J13" i="7" s="1"/>
  <c r="G16" i="7"/>
  <c r="J16" i="7" s="1"/>
  <c r="G19" i="7"/>
  <c r="J19" i="7" s="1"/>
  <c r="G22" i="7"/>
  <c r="J22" i="7" s="1"/>
  <c r="G25" i="7"/>
  <c r="J25" i="7" s="1"/>
  <c r="G28" i="7"/>
  <c r="J28" i="7" s="1"/>
  <c r="G31" i="7"/>
  <c r="J31" i="7" s="1"/>
  <c r="G34" i="7"/>
  <c r="J34" i="7" s="1"/>
  <c r="G37" i="7"/>
  <c r="J37" i="7" s="1"/>
  <c r="G40" i="7"/>
  <c r="J40" i="7" s="1"/>
  <c r="G43" i="7"/>
  <c r="J43" i="7" s="1"/>
  <c r="G46" i="7"/>
  <c r="J46" i="7" s="1"/>
  <c r="G49" i="7"/>
  <c r="J49" i="7" s="1"/>
  <c r="G52" i="7"/>
  <c r="J52" i="7" s="1"/>
  <c r="G55" i="7"/>
  <c r="J55" i="7" s="1"/>
  <c r="G58" i="7"/>
  <c r="J58" i="7" s="1"/>
  <c r="G61" i="7"/>
  <c r="J61" i="7" s="1"/>
  <c r="G5" i="7"/>
  <c r="J5" i="7" s="1"/>
  <c r="G8" i="7"/>
  <c r="J8" i="7" s="1"/>
  <c r="G11" i="7"/>
  <c r="J11" i="7" s="1"/>
  <c r="G14" i="7"/>
  <c r="J14" i="7" s="1"/>
  <c r="G17" i="7"/>
  <c r="J17" i="7" s="1"/>
  <c r="G20" i="7"/>
  <c r="J20" i="7" s="1"/>
  <c r="G23" i="7"/>
  <c r="J23" i="7" s="1"/>
  <c r="G26" i="7"/>
  <c r="J26" i="7" s="1"/>
  <c r="G29" i="7"/>
  <c r="J29" i="7" s="1"/>
  <c r="G32" i="7"/>
  <c r="J32" i="7" s="1"/>
  <c r="G35" i="7"/>
  <c r="J35" i="7" s="1"/>
  <c r="G38" i="7"/>
  <c r="J38" i="7" s="1"/>
  <c r="G41" i="7"/>
  <c r="J41" i="7" s="1"/>
  <c r="G44" i="7"/>
  <c r="J44" i="7" s="1"/>
  <c r="G47" i="7"/>
  <c r="J47" i="7" s="1"/>
  <c r="E64" i="7"/>
  <c r="G6" i="7"/>
  <c r="J6" i="7" s="1"/>
  <c r="G4" i="6"/>
  <c r="J4" i="6" s="1"/>
  <c r="K4" i="6" s="1"/>
  <c r="G7" i="6"/>
  <c r="J7" i="6" s="1"/>
  <c r="K7" i="6" s="1"/>
  <c r="G5" i="6"/>
  <c r="J5" i="6" s="1"/>
  <c r="K5" i="6" s="1"/>
  <c r="G6" i="6"/>
  <c r="J6" i="6" s="1"/>
  <c r="K6" i="6" s="1"/>
  <c r="I3" i="5"/>
  <c r="K3" i="5" s="1"/>
  <c r="G4" i="7" l="1"/>
  <c r="J4" i="7" s="1"/>
  <c r="G64" i="7"/>
  <c r="J3" i="7"/>
  <c r="J64" i="7" s="1"/>
  <c r="J67" i="7" s="1"/>
  <c r="E48" i="21"/>
  <c r="E48" i="26"/>
  <c r="E99" i="21" l="1"/>
  <c r="A86" i="8" l="1"/>
  <c r="A85" i="8"/>
  <c r="A84" i="8"/>
  <c r="A83" i="8"/>
  <c r="A82" i="8"/>
  <c r="A81" i="8"/>
  <c r="A80" i="8"/>
  <c r="A79" i="8"/>
  <c r="A78" i="8"/>
  <c r="A77" i="8"/>
  <c r="A76" i="8"/>
  <c r="A75" i="8"/>
  <c r="A74" i="8"/>
  <c r="A73" i="8"/>
  <c r="A72" i="8"/>
  <c r="A71" i="8"/>
  <c r="A70" i="8"/>
  <c r="A69" i="8"/>
  <c r="A68" i="8"/>
  <c r="A67" i="8"/>
  <c r="A66" i="8"/>
  <c r="A65" i="8"/>
  <c r="A64" i="8"/>
  <c r="A63" i="8"/>
  <c r="A62" i="8"/>
  <c r="A61" i="8"/>
  <c r="A60" i="8"/>
  <c r="A59" i="8"/>
  <c r="A58" i="8"/>
  <c r="A57" i="8"/>
  <c r="A56" i="8"/>
  <c r="A55" i="8"/>
  <c r="A54" i="8"/>
  <c r="A53" i="8"/>
  <c r="A52" i="8"/>
  <c r="A51" i="8"/>
  <c r="A50" i="8"/>
  <c r="A49" i="8"/>
  <c r="A48" i="8"/>
  <c r="A47" i="8"/>
  <c r="A46" i="8"/>
  <c r="A45" i="8"/>
  <c r="A44" i="8"/>
  <c r="A43" i="8"/>
  <c r="A42" i="8"/>
  <c r="A41" i="8"/>
  <c r="A40" i="8"/>
  <c r="A39" i="8"/>
  <c r="A38" i="8"/>
  <c r="A37" i="8"/>
  <c r="A36" i="8"/>
  <c r="A35" i="8"/>
  <c r="A34" i="8"/>
  <c r="A33" i="8"/>
  <c r="A32" i="8"/>
  <c r="A31" i="8"/>
  <c r="A30" i="8"/>
  <c r="A29" i="8"/>
  <c r="A28" i="8"/>
  <c r="A27" i="8"/>
  <c r="A26" i="8"/>
  <c r="A25" i="8"/>
  <c r="A24" i="8"/>
  <c r="A23" i="8"/>
  <c r="A22" i="8"/>
  <c r="A21" i="8"/>
  <c r="A20" i="8"/>
  <c r="A19" i="8"/>
  <c r="A18" i="8"/>
  <c r="A17" i="8"/>
  <c r="A16" i="8"/>
  <c r="A15" i="8"/>
  <c r="A14" i="8"/>
  <c r="A13" i="8"/>
  <c r="A12" i="8"/>
  <c r="A11" i="8"/>
  <c r="A10" i="8"/>
  <c r="A9" i="8"/>
  <c r="A8" i="8"/>
  <c r="A7" i="8"/>
  <c r="A6" i="8"/>
  <c r="A5" i="8"/>
  <c r="A4" i="8"/>
  <c r="A3" i="8"/>
  <c r="A3" i="31"/>
  <c r="G14" i="31"/>
  <c r="G13" i="31"/>
  <c r="G12" i="31"/>
  <c r="G11" i="31"/>
  <c r="G10" i="31"/>
  <c r="G9" i="31"/>
  <c r="G8" i="31"/>
  <c r="G7" i="31"/>
  <c r="G6" i="31"/>
  <c r="G5" i="31"/>
  <c r="G4" i="31"/>
  <c r="G3" i="31"/>
  <c r="A2" i="3"/>
  <c r="A3" i="3"/>
  <c r="A3" i="2"/>
  <c r="F42" i="30" l="1"/>
  <c r="C6" i="11"/>
  <c r="E4" i="11"/>
  <c r="E3" i="11"/>
  <c r="A62" i="7"/>
  <c r="A63" i="7"/>
  <c r="A64" i="7"/>
  <c r="A53" i="7"/>
  <c r="A54" i="7"/>
  <c r="A55" i="7"/>
  <c r="A56" i="7"/>
  <c r="A57" i="7"/>
  <c r="A58" i="7"/>
  <c r="A59" i="7"/>
  <c r="A60" i="7"/>
  <c r="A61" i="7"/>
  <c r="A3" i="7"/>
  <c r="A4" i="7"/>
  <c r="A5" i="7"/>
  <c r="A6" i="7"/>
  <c r="A7" i="7"/>
  <c r="A8" i="7"/>
  <c r="A9" i="7"/>
  <c r="A10" i="7"/>
  <c r="A11" i="7"/>
  <c r="A12" i="7"/>
  <c r="A13" i="7"/>
  <c r="A14" i="7"/>
  <c r="A15" i="7"/>
  <c r="A16" i="7"/>
  <c r="A17" i="7"/>
  <c r="A18" i="7"/>
  <c r="A19" i="7"/>
  <c r="A20" i="7"/>
  <c r="A21" i="7"/>
  <c r="A22" i="7"/>
  <c r="A23" i="7"/>
  <c r="A24" i="7"/>
  <c r="A25" i="7"/>
  <c r="A26" i="7"/>
  <c r="A27" i="7"/>
  <c r="A28" i="7"/>
  <c r="A29" i="7"/>
  <c r="A30" i="7"/>
  <c r="A31" i="7"/>
  <c r="A32" i="7"/>
  <c r="A33" i="7"/>
  <c r="A34" i="7"/>
  <c r="A35" i="7"/>
  <c r="A36" i="7"/>
  <c r="A37" i="7"/>
  <c r="A38" i="7"/>
  <c r="A39" i="7"/>
  <c r="A40" i="7"/>
  <c r="A41" i="7"/>
  <c r="A42" i="7"/>
  <c r="A43" i="7"/>
  <c r="A44" i="7"/>
  <c r="A45" i="7"/>
  <c r="A46" i="7"/>
  <c r="A47" i="7"/>
  <c r="A48" i="7"/>
  <c r="A49" i="7"/>
  <c r="A50" i="7"/>
  <c r="A51" i="7"/>
  <c r="A52" i="7"/>
  <c r="G29" i="9"/>
  <c r="G30" i="9"/>
  <c r="G31" i="9"/>
  <c r="G32" i="9"/>
  <c r="G33" i="9"/>
  <c r="F34" i="9"/>
  <c r="G34" i="9"/>
  <c r="G14" i="9"/>
  <c r="G15" i="9"/>
  <c r="G16" i="9"/>
  <c r="G17" i="9"/>
  <c r="G18" i="9"/>
  <c r="F19" i="9"/>
  <c r="G4" i="9"/>
  <c r="G5" i="9"/>
  <c r="G6" i="9"/>
  <c r="G7" i="9"/>
  <c r="G8" i="9"/>
  <c r="G9" i="9"/>
  <c r="F10" i="9"/>
  <c r="I8" i="6"/>
  <c r="I5" i="6"/>
  <c r="I6" i="6"/>
  <c r="I7" i="6"/>
  <c r="I9" i="6"/>
  <c r="I3" i="6"/>
  <c r="C28" i="26"/>
  <c r="F34" i="26" s="1"/>
  <c r="D140" i="26"/>
  <c r="C140" i="26"/>
  <c r="A140" i="26"/>
  <c r="C28" i="21"/>
  <c r="F34" i="21" s="1"/>
  <c r="D140" i="21"/>
  <c r="C140" i="21"/>
  <c r="A140" i="21"/>
  <c r="F41" i="26" l="1"/>
  <c r="E63" i="26"/>
  <c r="F63" i="26" s="1"/>
  <c r="E63" i="21"/>
  <c r="F41" i="21"/>
  <c r="F23" i="9"/>
  <c r="G19" i="9"/>
  <c r="E6" i="11"/>
  <c r="H10" i="9"/>
  <c r="I34" i="9"/>
  <c r="F111" i="26" s="1"/>
  <c r="H34" i="9"/>
  <c r="I19" i="9"/>
  <c r="I10" i="9"/>
  <c r="H19" i="9"/>
  <c r="G10" i="9"/>
  <c r="J10" i="6"/>
  <c r="E46" i="30" s="1"/>
  <c r="K10" i="6"/>
  <c r="F46" i="30" s="1"/>
  <c r="F129" i="21"/>
  <c r="F63" i="21" l="1"/>
  <c r="F72" i="21" s="1"/>
  <c r="F77" i="21" s="1"/>
  <c r="F46" i="26"/>
  <c r="F47" i="26"/>
  <c r="F72" i="26"/>
  <c r="F77" i="26" s="1"/>
  <c r="F47" i="21"/>
  <c r="F46" i="21"/>
  <c r="F129" i="26"/>
  <c r="I23" i="9"/>
  <c r="F111" i="21" s="1"/>
  <c r="G23" i="9"/>
  <c r="H23" i="9"/>
  <c r="F112" i="26"/>
  <c r="E50" i="30"/>
  <c r="F50" i="30"/>
  <c r="F48" i="26" l="1"/>
  <c r="F48" i="21"/>
  <c r="F52" i="26"/>
  <c r="F54" i="26"/>
  <c r="F56" i="26"/>
  <c r="F57" i="26"/>
  <c r="F51" i="26"/>
  <c r="F53" i="26"/>
  <c r="F55" i="26"/>
  <c r="F115" i="26"/>
  <c r="F133" i="26" s="1"/>
  <c r="F115" i="21"/>
  <c r="F133" i="21" s="1"/>
  <c r="F57" i="21"/>
  <c r="F75" i="26"/>
  <c r="F58" i="21" l="1"/>
  <c r="F86" i="21"/>
  <c r="F87" i="21"/>
  <c r="F84" i="21"/>
  <c r="F83" i="21"/>
  <c r="F55" i="21"/>
  <c r="F51" i="21"/>
  <c r="F85" i="21"/>
  <c r="F82" i="21"/>
  <c r="F56" i="21"/>
  <c r="F54" i="21"/>
  <c r="F53" i="21"/>
  <c r="F52" i="21"/>
  <c r="F75" i="21"/>
  <c r="F58" i="26"/>
  <c r="F86" i="26"/>
  <c r="F87" i="26"/>
  <c r="F83" i="26"/>
  <c r="F85" i="26"/>
  <c r="F82" i="26"/>
  <c r="F84" i="26"/>
  <c r="F59" i="26"/>
  <c r="F76" i="26" s="1"/>
  <c r="F78" i="26" s="1"/>
  <c r="F59" i="21" l="1"/>
  <c r="F76" i="21" s="1"/>
  <c r="F78" i="21" s="1"/>
  <c r="F93" i="26"/>
  <c r="F97" i="26"/>
  <c r="F98" i="26"/>
  <c r="F94" i="26"/>
  <c r="F95" i="26"/>
  <c r="F96" i="26"/>
  <c r="F88" i="21"/>
  <c r="F95" i="21" s="1"/>
  <c r="F98" i="21"/>
  <c r="F93" i="21"/>
  <c r="F88" i="26"/>
  <c r="F130" i="21"/>
  <c r="F130" i="26"/>
  <c r="F94" i="21" l="1"/>
  <c r="F131" i="21"/>
  <c r="F97" i="21"/>
  <c r="F96" i="21"/>
  <c r="F99" i="21" s="1"/>
  <c r="F105" i="21" s="1"/>
  <c r="F107" i="21" s="1"/>
  <c r="F132" i="21" s="1"/>
  <c r="F134" i="21" s="1"/>
  <c r="F131" i="26"/>
  <c r="F119" i="21" l="1"/>
  <c r="F120" i="21" s="1"/>
  <c r="F99" i="26"/>
  <c r="F105" i="26" s="1"/>
  <c r="F107" i="26" s="1"/>
  <c r="F132" i="26" s="1"/>
  <c r="F134" i="26" s="1"/>
  <c r="F124" i="21" l="1"/>
  <c r="F122" i="21"/>
  <c r="F123" i="21"/>
  <c r="F119" i="26"/>
  <c r="F120" i="26" s="1"/>
  <c r="F123" i="26" s="1"/>
  <c r="F125" i="21" l="1"/>
  <c r="F135" i="21" s="1"/>
  <c r="F136" i="21" s="1"/>
  <c r="B140" i="21" s="1"/>
  <c r="C36" i="30" s="1"/>
  <c r="E36" i="30" s="1"/>
  <c r="F36" i="30" s="1"/>
  <c r="F122" i="26"/>
  <c r="F124" i="26"/>
  <c r="F125" i="26" s="1"/>
  <c r="F135" i="26" s="1"/>
  <c r="F136" i="26" s="1"/>
  <c r="B140" i="26" s="1"/>
  <c r="E140" i="26" s="1"/>
  <c r="F140" i="26" s="1"/>
  <c r="E140" i="21" l="1"/>
  <c r="F140" i="21" s="1"/>
  <c r="C37" i="30"/>
  <c r="E37" i="30" s="1"/>
  <c r="F37" i="30" s="1"/>
  <c r="E38" i="30" l="1"/>
  <c r="F38" i="30" l="1"/>
  <c r="E54" i="30" s="1"/>
  <c r="C54" i="30"/>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Autor desconhecido</author>
    <author>横山 隆一Lyuity Yokoyama</author>
    <author>Lyuity Yokoyama</author>
  </authors>
  <commentList>
    <comment ref="F34" authorId="0" shapeId="0" xr:uid="{BD3F966D-67A5-4F50-9492-EFD0E0E79A4B}">
      <text>
        <r>
          <rPr>
            <b/>
            <sz val="9"/>
            <color indexed="81"/>
            <rFont val="Times New Roman"/>
            <family val="1"/>
          </rPr>
          <t>Base de cálculo do salário-base contido na:
- Convenção Coletiva de Trabalho 2025/2026
- Anexo I
- Item 14
Registrada no MTE sob o número: PA000133/2025
Referencial Técnico de Custos – AUDIN/MPU – 4ª Edição
MÓDULO 1 – COMPOSIÇÃO DA REMUNERAÇÃO
Alínea 1.A. - Salário Base</t>
        </r>
        <r>
          <rPr>
            <b/>
            <sz val="10"/>
            <rFont val="Arial"/>
            <family val="2"/>
          </rPr>
          <t xml:space="preserve">
</t>
        </r>
      </text>
    </comment>
    <comment ref="F35" authorId="0" shapeId="0" xr:uid="{2D37BF62-32EB-42AF-85A4-07BFC6760393}">
      <text>
        <r>
          <rPr>
            <b/>
            <sz val="9"/>
            <color indexed="81"/>
            <rFont val="Times New Roman"/>
            <family val="1"/>
          </rPr>
          <t>Base de cálculo do Adicional de Periculosidade:
Referencial Técnico de Custos – AUDIN/MPU – 4ª Edição
MÓDULO 1 – COMPOSIÇÃO DA REMUNERAÇÃO
Alínea 1.B. - Adicional de periculosidade
O adicional de periculosidade é devido ao empregado cujo trabalho envolva a execução de atividades perigosas, que são as que, por sua natureza ou método de execução, exponham o trabalhador a condições de risco acentuado.
O adicional devido corresponde a 30% do salário contratual, sem os acréscimos resultantes de gratificações, prêmios ou participações nos lucros da empresa. É o que define a Súmula 191 do TST: “O adicional incide apenas sobre o salário básico e não sobre este acrescido de outros adicionais”.
Fórmula: Salário-Base x 30%</t>
        </r>
        <r>
          <rPr>
            <sz val="10"/>
            <rFont val="Arial"/>
            <family val="2"/>
          </rPr>
          <t xml:space="preserve">
</t>
        </r>
      </text>
    </comment>
    <comment ref="F36" authorId="0" shapeId="0" xr:uid="{4A4A1E52-CB3B-4E6F-BCE5-29260C572638}">
      <text>
        <r>
          <rPr>
            <b/>
            <sz val="9"/>
            <color indexed="81"/>
            <rFont val="Times New Roman"/>
            <family val="1"/>
          </rPr>
          <t>Base de cálculo do Adicional de Insalubridade:
Referencial Técnico de Custos – AUDIN/MPU – 4ª Edição
MÓDULO 1 – COMPOSIÇÃO DA REMUNERAÇÃO
Alínea 1.C. - Adicional de insalubridade
O adicional de insalubridade é devido ao empregado que, para o desempenho do seu trabalho, tem de realizar atividade insalubre, ou seja, que implique em exposição a agentes nocivos à saúde, acima dos limites de tolerância considerados adequados.
A classificação da atividade como insalubre dá-se mediante edição, pelo Ministério do Trabalho, de quadro de atividades insalubres e os limites de tolerância e tempo máximo de exposição aos agentes nocivos. A norma vigente que disciplina a matéria é a Norma Regulamentadora nº 15, anexa à Portaria 3.214/1978.
Fórmula: Salário-Base x (percentual conforme a exposição ao risco) %
Metodologia de Cálculo:
Para calcular o valor do adicional de insalubridade deve-se multiplicar o valor do salário mínimo vigente pelos seguintes percentuais: máximo – 40%; médio – 20%; mínimo – 10%, conforme for a exposição ao risco.</t>
        </r>
        <r>
          <rPr>
            <sz val="9"/>
            <rFont val="Times New Roman"/>
            <family val="1"/>
          </rPr>
          <t xml:space="preserve">
</t>
        </r>
      </text>
    </comment>
    <comment ref="F37" authorId="0" shapeId="0" xr:uid="{68EA70B6-F302-445A-B772-2D8CE4DAD0CA}">
      <text>
        <r>
          <rPr>
            <b/>
            <sz val="9"/>
            <color indexed="81"/>
            <rFont val="Times New Roman"/>
            <family val="1"/>
          </rPr>
          <t xml:space="preserve">Base de cálculo do Adicional Noturno:
Referencial Técnico de Custos – AUDIN/MPU – 4ª Edição
MÓDULO 1 – COMPOSIÇÃO DA REMUNERAÇÃO
Alínea 1.D. - Adicional noturno
O adicional noturno é devido ao empregado em virtude da atividade laboral executada entre as 22 horas de um dia e as 5 horas do dia seguinte, remunerado com adicional de 20%.
Fórmula: Remuneração/hora = </t>
        </r>
        <r>
          <rPr>
            <b/>
            <u/>
            <sz val="9"/>
            <color indexed="81"/>
            <rFont val="Times New Roman"/>
            <family val="1"/>
          </rPr>
          <t>(Salário-Base + Adicional de Periculosidade)</t>
        </r>
        <r>
          <rPr>
            <b/>
            <sz val="9"/>
            <color indexed="81"/>
            <rFont val="Times New Roman"/>
            <family val="1"/>
          </rPr>
          <t xml:space="preserve">
                                                                                  220</t>
        </r>
      </text>
    </comment>
    <comment ref="F38" authorId="0" shapeId="0" xr:uid="{8FBA1A3A-C0EF-49DA-9193-C5BB1049150E}">
      <text>
        <r>
          <rPr>
            <b/>
            <sz val="9"/>
            <color indexed="81"/>
            <rFont val="Times New Roman"/>
            <family val="1"/>
          </rPr>
          <t xml:space="preserve">Base de cálculo do Adicional de Hora Noturna Reduzida:
Referencial Técnico de Custos – AUDIN/MPU – 4ª Edição
MÓDULO 1 – COMPOSIÇÃO DA REMUNERAÇÃO
Alínea 1.E. -  - Adicional de hora noturna reduzida
Se a convenção coletiva prever a incorporação do valor da hora de redução noturna ao salário-base ou se a hora noturna adicional houver sido contemplada no valor do adicional noturno, o item hora noturna adicional será igual a 0 (zero).
Entretanto, nos casos em que a hora noturna adicional não houver sido contemplada no cálculo do adicional noturno, deverá ser calculada somente a hora de redução noturna, conforme a seguir.
Fórmula: </t>
        </r>
        <r>
          <rPr>
            <b/>
            <u/>
            <sz val="9"/>
            <color indexed="81"/>
            <rFont val="Times New Roman"/>
            <family val="1"/>
          </rPr>
          <t>(Salário-Base + Adic. de Periculosidade)</t>
        </r>
        <r>
          <rPr>
            <b/>
            <sz val="9"/>
            <color indexed="81"/>
            <rFont val="Times New Roman"/>
            <family val="1"/>
          </rPr>
          <t xml:space="preserve">
                                          220     </t>
        </r>
        <r>
          <rPr>
            <sz val="10"/>
            <rFont val="Arial"/>
            <family val="2"/>
          </rPr>
          <t xml:space="preserve">
</t>
        </r>
      </text>
    </comment>
    <comment ref="F39" authorId="0" shapeId="0" xr:uid="{35739759-EFAE-4F58-B985-7498FB373893}">
      <text>
        <r>
          <rPr>
            <b/>
            <sz val="9"/>
            <color indexed="81"/>
            <rFont val="Times New Roman"/>
            <family val="1"/>
          </rPr>
          <t>Base de cálculo do Adicional de Hora Extra no Feriado Trabalhado:
Referencial Técnico de Custos – AUDIN/MPU – 4ª Edição
MÓDULO 1 – COMPOSIÇÃO DA REMUNERAÇÃO
Alínea 1.F. - Adicional de Hora Extra no Feriado Trabalhado
O adicional de hora extra era devido em virtude do disposto na Súmula nº 444 do TST, que previa o pagamento de hora extra para os domingos e feriados trabalhados na jornada de 12x36 horas. No entanto, o § 1º do art. 59-A da CLT estabeleceu estar abrangido na remuneração mensal pactuada o pagamento pelo descanso semanal remunerado e pelo descanso em feriados e compensados os feriados.
Dessa forma, essa adicional não deverá mais constar do cômputo de remuneração dos trabalhadores inseridos nesta jornada, por força do que dispõe o § 2º do art. 8º da CLT.
Fundamentação:
- CLT (arts. 8º, § 2º, 59-A, § 1º e 73, §§ 1º ao 5º)</t>
        </r>
        <r>
          <rPr>
            <sz val="10"/>
            <rFont val="Arial"/>
            <family val="2"/>
          </rPr>
          <t xml:space="preserve">
</t>
        </r>
      </text>
    </comment>
    <comment ref="F46" authorId="0" shapeId="0" xr:uid="{40D2AFC8-6CC9-4C44-8030-FF51A86C9D75}">
      <text>
        <r>
          <rPr>
            <b/>
            <sz val="9"/>
            <color indexed="81"/>
            <rFont val="Times New Roman"/>
            <family val="1"/>
          </rPr>
          <t>Base de Cálculo do 13º Salário:
Referencial Técnico de Custos – Audin-MPU – 4ª Edição:
- MÓDULO 2 – ENCARGOS E BENEFÍCIOS ANUAIS, MENSAIS E DIÁRIOS
- Submódulo 2.1 – 13º (Décimo Terceiro) Salário e Adicional de Férias
- Alínea 2.1.A – 13º (Décimo Terceiro) Salário
- (1/12) x 100 = 8,33%</t>
        </r>
        <r>
          <rPr>
            <sz val="10"/>
            <rFont val="Arial"/>
            <family val="2"/>
          </rPr>
          <t xml:space="preserve">
</t>
        </r>
      </text>
    </comment>
    <comment ref="F47" authorId="0" shapeId="0" xr:uid="{88A2806E-C83A-452D-BB2D-FB3535CA1FFA}">
      <text>
        <r>
          <rPr>
            <b/>
            <sz val="9"/>
            <color indexed="81"/>
            <rFont val="Times New Roman"/>
            <family val="1"/>
          </rPr>
          <t>Base de Cálculo do Adicional de Férias:
Referencial Técnico de Custos – Audin-MPU – 4ª Edição:
- MÓDULO 2 – ENCARGOS E BENEFÍCIOS ANUAIS, MENSAIS E DIÁRIOS
- Submódulo 2.1 – 13º (Décimo Terceiro) Salário e Adicional de Férias
- Alínea 2.1.B – Adicional de Férias
- [(1/3)/12] x 100 = 2,78%</t>
        </r>
        <r>
          <rPr>
            <sz val="10"/>
            <rFont val="Arial"/>
            <family val="2"/>
          </rPr>
          <t xml:space="preserve">
</t>
        </r>
      </text>
    </comment>
    <comment ref="F51" authorId="0" shapeId="0" xr:uid="{AFF5F4FF-6273-464F-84A1-BCAC0DEFE623}">
      <text>
        <r>
          <rPr>
            <b/>
            <sz val="9"/>
            <color indexed="81"/>
            <rFont val="Times New Roman"/>
            <family val="1"/>
          </rPr>
          <t>Base de Cálculo do INSS:
- Referencial Técnico de Custos – Audin-MPU – 4ª Edição:
- MÓDULO 2 – ENCARGOS E BENEFÍCIOS ANUAIS, MENSAIS E DIÁRIOS;
- Submódulo 2.2 – Encargos Previdenciários (GPS), Fundo de Garantia por Tempo de Serviço (FGTS) e outras contribuições;
- Alínea 2.2.A - INSS
- Base de Cálculo: Módulo 1 + Submódulo 2.1
- Percentual: 20,00%</t>
        </r>
        <r>
          <rPr>
            <b/>
            <sz val="9"/>
            <color indexed="81"/>
            <rFont val="Arial"/>
            <family val="2"/>
          </rPr>
          <t xml:space="preserve">
</t>
        </r>
      </text>
    </comment>
    <comment ref="F52" authorId="0" shapeId="0" xr:uid="{5647BC82-525B-4831-BCBC-9AEACF268E21}">
      <text>
        <r>
          <rPr>
            <b/>
            <sz val="9"/>
            <color indexed="81"/>
            <rFont val="Times New Roman"/>
            <family val="1"/>
          </rPr>
          <t xml:space="preserve">Base de Cálculo do Salário Educação:
- Referencial Técnico de Custos – Audin-MPU – 4ª Edição:
- MÓDULO 2 – ENCARGOS E BENEFÍCIOS ANUAIS, MENSAIS E DIÁRIOS;
- Submódulo 2.2 – Encargos Previdenciários (GPS), Fundo de Garantia por
Tempo de Serviço (FGTS) e outras contribuições;
- Alínea 2.2.B - Salário Educação
- Base de Cálculo: Módulo 1 + Submódulo 2.1
- Percentual: 2,50%
</t>
        </r>
      </text>
    </comment>
    <comment ref="F53" authorId="0" shapeId="0" xr:uid="{6BA1A87B-9636-4BA5-9735-2A5551229920}">
      <text>
        <r>
          <rPr>
            <b/>
            <sz val="9"/>
            <color indexed="81"/>
            <rFont val="Times New Roman"/>
            <family val="1"/>
          </rPr>
          <t xml:space="preserve">Base de Cálculo do Risco Ambiental do Trabalho – RAT:
- Referencial Técnico de Custos – Audin-MPU – 4ª Edição:
- MÓDULO 2 – ENCARGOS E BENEFÍCIOS ANUAIS, MENSAIS E DIÁRIOS;
- Submódulo 2.2 – Encargos Previdenciários (GPS), Fundo de Garantia por Tempo de Serviço (FGTS) e outras contribuições;
- Alínea 2.2.C - Riscos Ambientais do Trabalho
- Base de Cálculo: Módulo 1 + Submódulo 2.1
- Percentual: de 1 a 3%
</t>
        </r>
      </text>
    </comment>
    <comment ref="F54" authorId="0" shapeId="0" xr:uid="{CA40BEA2-365B-45DA-8B0D-10D66B87AEED}">
      <text>
        <r>
          <rPr>
            <b/>
            <sz val="9"/>
            <color indexed="81"/>
            <rFont val="Times New Roman"/>
            <family val="1"/>
          </rPr>
          <t xml:space="preserve">Base de Cálculo do SESC:
- Referencial Técnico de Custos – Audin-MPU – 4ª Edição:
- MÓDULO 2 – ENCARGOS E BENEFÍCIOS ANUAIS, MENSAIS E DIÁRIOS;
- Submódulo 2.2 – Encargos Previdenciários (GPS), Fundo de Garantia por Tempo de Serviço (FGTS) e outras contribuições;
- Alínea 2.2.D - SESC
- Base de Cálculo: Módulo 1 + Submódulo 2.1
- Percentual: 1,50%
</t>
        </r>
      </text>
    </comment>
    <comment ref="F55" authorId="0" shapeId="0" xr:uid="{DA013C74-2287-40D2-B6BA-2484968AD0D7}">
      <text>
        <r>
          <rPr>
            <b/>
            <sz val="9"/>
            <rFont val="Times New Roman"/>
            <family val="1"/>
            <charset val="1"/>
          </rPr>
          <t xml:space="preserve">Base de Cálculo do SENAC:
- Referencial Técnico de Custos – Audin-MPU – 4ª Edição:
- MÓDULO 2 – ENCARGOS E BENEFÍCIOS ANUAIS, MENSAIS E DIÁRIOS;
- Submódulo 2.2 – Encargos Previdenciários (GPS), Fundo de Garantia por Tempo de Serviço (FGTS) e outras contribuições;
- Alínea 2.2.E - SENAC
- Base de Cálculo: Módulo 1 + Submódulo 2.1
- Percentual: 1,00%
</t>
        </r>
      </text>
    </comment>
    <comment ref="F56" authorId="0" shapeId="0" xr:uid="{F7DCFA5E-81D9-407D-A292-F69BB48A3CE7}">
      <text>
        <r>
          <rPr>
            <b/>
            <sz val="9"/>
            <color indexed="81"/>
            <rFont val="Times New Roman"/>
            <family val="1"/>
          </rPr>
          <t>Base de Cálculo do SEBRAE:
- Referencial Técnico de Custos – Audin-MPU – 4ª Edição:
- MÓDULO 2 – ENCARGOS E BENEFÍCIOS ANUAIS, MENSAIS E DIÁRIOS;
- Submódulo 2.2 – Encargos Previdenciários (GPS), Fundo de Garantia por Tempo de Serviço (FGTS) e outras contribuições;
- Alínea 2.2.F - SEBRAE
- Base de Cálculo: Módulo 1 + Submódulo 2.1
- Percentual: 0,60%</t>
        </r>
        <r>
          <rPr>
            <sz val="10"/>
            <rFont val="Arial"/>
            <family val="2"/>
          </rPr>
          <t xml:space="preserve">
</t>
        </r>
      </text>
    </comment>
    <comment ref="F57" authorId="0" shapeId="0" xr:uid="{B6BAB547-0BED-4DDF-863C-2E1FE2A4F33D}">
      <text>
        <r>
          <rPr>
            <b/>
            <sz val="9"/>
            <color indexed="81"/>
            <rFont val="Times New Roman"/>
            <family val="1"/>
          </rPr>
          <t>Base de Cálculo do INCRA:
- Referencial Técnico de Custos – Audin-MPU – 4ª Edição:
- MÓDULO 2 – ENCARGOS E BENEFÍCIOS ANUAIS, MENSAIS E DIÁRIOS;
- Submódulo 2.2 – Encargos Previdenciários (GPS), Fundo de Garantia por Tempo de Serviço (FGTS) e outras contribuições;
- Alínea 2.2.G - INCRA
- Base de Cálculo: Módulo 1 + Submódulo 2.1
- Percentual: 0,20%</t>
        </r>
        <r>
          <rPr>
            <sz val="10"/>
            <rFont val="Arial"/>
            <family val="2"/>
          </rPr>
          <t xml:space="preserve">
</t>
        </r>
      </text>
    </comment>
    <comment ref="F58" authorId="0" shapeId="0" xr:uid="{3B3F712D-A362-41A3-8168-5B4573AA0287}">
      <text>
        <r>
          <rPr>
            <b/>
            <sz val="9"/>
            <color indexed="81"/>
            <rFont val="Times New Roman"/>
            <family val="1"/>
          </rPr>
          <t>Base de Cálculo do FGTS:
- Referencial Técnico de Custos – Audin-MPU – 4ª Edição:
- MÓDULO 2 – ENCARGOS E BENEFÍCIOS ANUAIS, MENSAIS E DIÁRIOS;
- Submódulo 2.2 – Encargos Previdenciários (GPS), Fundo de Garantia por Tempo de Serviço (FGTS) e outras contribuições;
- Alínea 2.2.H - FGTS
- Base de Cálculo: Módulo 1 + Submódulo 2.1
- Percentual: 8,00%</t>
        </r>
        <r>
          <rPr>
            <sz val="10"/>
            <rFont val="Arial"/>
            <family val="2"/>
          </rPr>
          <t xml:space="preserve">
</t>
        </r>
      </text>
    </comment>
    <comment ref="F63" authorId="0" shapeId="0" xr:uid="{EB8F8317-028D-420A-A714-83FCDF1F70BC}">
      <text>
        <r>
          <rPr>
            <b/>
            <sz val="9"/>
            <color indexed="81"/>
            <rFont val="Times New Roman"/>
            <family val="1"/>
          </rPr>
          <t>Memória de Cálculo do Vale-Transporte:
- Referencial Técnico de Custos – Audin-MPU – 4ª Edição:
- MÓDULO 2 – ENCARGOS E BENEFÍCIOS ANUAIS, MENSAIS E DIÁRIOS;
- Submódulo 2.3 – Benefícios Mensais e Diários
- Alínea 2.3.A. - Vale-Transporte
- Instrução Normativa SEGES/MPDG nº 5/2017
- Decreto Nº 103788 DE 25/03/2022
- Valor da tarifa da passagem x 2 x 21 – (6% x Salário-Base)</t>
        </r>
        <r>
          <rPr>
            <sz val="10"/>
            <rFont val="Arial"/>
            <family val="2"/>
          </rPr>
          <t xml:space="preserve">
</t>
        </r>
      </text>
    </comment>
    <comment ref="F65" authorId="0" shapeId="0" xr:uid="{8FC464F5-B79E-4DBC-B064-D4A803A9203E}">
      <text>
        <r>
          <rPr>
            <b/>
            <sz val="9"/>
            <color indexed="81"/>
            <rFont val="Times New Roman"/>
            <family val="1"/>
          </rPr>
          <t>Memória de Cálculo do Vale-Alimentação:
- Referencial Técnico de Custos – Audin-MPU – 4ª Edição:
- MÓDULO 2 – ENCARGOS E BENEFÍCIOS ANUAIS, MENSAIS E DIÁRIOS;
- Submódulo 2.3 – Benefícios Mensais e Diários
- Alínea 2.3.B. - Vale-Alimentação
- Instrução Normativa SEGES/MPDG nº 5/2017
- Valor diário do auxílio-alimentação x 21
- ((25,50 – (25,50 x 10%)) x 21). Valor diário da alimentação – 10% x 21 dias. 
- Referencial AUDIN, 4ª edição c/c CONVENÇÃO COLETIVA 2024/2025 SEAC/SINELPA - AUXÍLIO ALIMENTAÇÃO - CLÁUSULA DÉCIMA QUINTA - TICKET ALIMENTAÇÃO/ CARTÃO REFEIÇÃO</t>
        </r>
        <r>
          <rPr>
            <sz val="10"/>
            <rFont val="Arial"/>
            <family val="2"/>
          </rPr>
          <t xml:space="preserve">
</t>
        </r>
      </text>
    </comment>
    <comment ref="F67" authorId="0" shapeId="0" xr:uid="{34B7B0E0-42EA-4169-8C03-F6A01BCE517A}">
      <text>
        <r>
          <rPr>
            <b/>
            <sz val="9"/>
            <color indexed="81"/>
            <rFont val="Times New Roman"/>
            <family val="1"/>
          </rPr>
          <t>Seguro de vida em grupo com assistência funeral e familiar:
- Referencial Técnico de Custos – Audin-MPU – 4ª Edição:
- MÓDULO 2 – ENCARGOS E BENEFÍCIOS ANUAIS, MENSAIS E DIÁRIOS;
- Submódulo 2.3 – Benefícios Mensais e Diários
- Alínea 2.3.C. - Seguro de vida em grupo com assistência funeral e familiar
- Instrução Normativa SEGES/MPDG nº 5/2017
-  CONVENÇÃO COLETIVA 2024/2025 SEAC/SINELPA - AUXÍLIO MORTE/FUNERAL - CLÁUSULA DÉCIMA SÉTIMA - SEGURO DE VIDA EM GRUPO COM ASSISTÊNCIA FUNERAL E FAMILIAR
Seguro de vida. Referencial AUDIN, 3ª edição c/c Cláusula 17ª, § 1º, da CCT 2024/2025</t>
        </r>
        <r>
          <rPr>
            <sz val="10"/>
            <rFont val="Arial"/>
            <family val="2"/>
          </rPr>
          <t xml:space="preserve">
</t>
        </r>
      </text>
    </comment>
    <comment ref="F69" authorId="1" shapeId="0" xr:uid="{98C898F1-3CEE-43A3-A398-AE67CC5A3617}">
      <text>
        <r>
          <rPr>
            <b/>
            <sz val="9"/>
            <color indexed="81"/>
            <rFont val="Segoe UI"/>
            <family val="2"/>
          </rPr>
          <t xml:space="preserve">Cláusula 47ª, caput, da CCT 2024/2025. </t>
        </r>
        <r>
          <rPr>
            <sz val="9"/>
            <color indexed="81"/>
            <rFont val="Segoe UI"/>
            <family val="2"/>
          </rPr>
          <t xml:space="preserve">
</t>
        </r>
      </text>
    </comment>
    <comment ref="F82" authorId="0" shapeId="0" xr:uid="{8CF9F8C8-C4A1-4F75-B3C6-17B174475016}">
      <text>
        <r>
          <rPr>
            <b/>
            <sz val="9"/>
            <color indexed="81"/>
            <rFont val="Times New Roman"/>
            <family val="1"/>
          </rPr>
          <t xml:space="preserve">Base de Cálculo do Aviso Prévio Indenizado:
- Referencial Técnico de Custos – Audin-MPU – 4ª Edição:
- MÓDULO 3 - PROVISÃO PARA RESCISÃO:
- Alínea 3.A. - Aviso Prévio Indenizado
- Base de Cálculo: Módulo 1 + Submódulo 2.1 
- Percentual: 0,26% 
Decorrido um ano de vigência do contrato, caso haja prorrogação, o percentual informado na célula E82 deverá ser reduzido para 10% do valor original da proposta. Referencial Técnico de Custos – Audin-MPU – 3ª Edição - página 48.
PORTARIA/MTP Nº 671, DE 8 DE NOVEMBRO DE 2021
https://www.in.gov.br/en/web/dou/-/portaria-359094139
Art. 37. As verbas rescisórias e o aviso prévio serão calculados com base na média dos valores recebidos pelo empregado no curso do contrato de trabalho intermitente.
Art. 38. No contrato de trabalho intermitente, o empregador efetuará o recolhimento das contribuições previdenciárias próprias e do empregado e o depósito do FGTS com base nos valores pagos no período mensal e fornecerá ao empregado comprovante do cumprimento dessas obrigações.
</t>
        </r>
      </text>
    </comment>
    <comment ref="F83" authorId="1" shapeId="0" xr:uid="{D5244B05-13F4-46D8-8B6A-462C52C923A8}">
      <text>
        <r>
          <rPr>
            <b/>
            <sz val="9"/>
            <color indexed="81"/>
            <rFont val="Segoe UI"/>
            <family val="2"/>
          </rPr>
          <t>Base de Cálculo da Incidência do FGTS sobre o Aviso Prévio Indenizado:
- Referencial Técnico de Custos – Audin-MPU – 4ª Edição:
- MÓDULO 3 - PROVISÃO PARA RESCISÃO:
- Alínea 3.B. - Incidência do FGTS sobre o Aviso Prévio Indenizado
- Base de Cálculo: Módulo 1 + Submódulo 2.1
- Percentual: 0,02% 
- Fonte: Referencial Técnico de Custos – Audin-MPU – 4ª Edição.</t>
        </r>
      </text>
    </comment>
    <comment ref="F84" authorId="1" shapeId="0" xr:uid="{05D13D67-0A88-44DD-8232-1C15E14FF898}">
      <text>
        <r>
          <rPr>
            <b/>
            <sz val="9"/>
            <color indexed="81"/>
            <rFont val="Segoe UI"/>
            <family val="2"/>
          </rPr>
          <t>Base de Cálculo da Multa do FGTS do Aviso Prévio Indenizado:
- Referencial Técnico de Custos – Audin-MPU – 4ª Edição:
- MÓDULO 3 - PROVISÃO PARA RESCISÃO:
- Alínea 3.C. - Multa do FGTS do Aviso Prévio Indenizado
- Base de Cálculo: Módulo 1 + Submódulo 2.1
- Percentual: 0,10% 
- Fonte: Referencial Técnico de Custos – Audin-MPU – 4ª Edição.</t>
        </r>
        <r>
          <rPr>
            <sz val="9"/>
            <color indexed="81"/>
            <rFont val="Segoe UI"/>
            <family val="2"/>
          </rPr>
          <t xml:space="preserve">
</t>
        </r>
      </text>
    </comment>
    <comment ref="E85" authorId="1" shapeId="0" xr:uid="{8C800AEA-2DE8-4F72-88DD-D88626313E7F}">
      <text>
        <r>
          <rPr>
            <b/>
            <sz val="9"/>
            <color indexed="81"/>
            <rFont val="Segoe UI"/>
            <family val="2"/>
          </rPr>
          <t>[(56,24%) x 94,45% x (7/30) /12] x 100 = 1,03%</t>
        </r>
        <r>
          <rPr>
            <sz val="9"/>
            <color indexed="81"/>
            <rFont val="Segoe UI"/>
            <family val="2"/>
          </rPr>
          <t xml:space="preserve">
</t>
        </r>
      </text>
    </comment>
    <comment ref="F85" authorId="0" shapeId="0" xr:uid="{04750764-7F15-448B-A726-F14F1BE6F865}">
      <text>
        <r>
          <rPr>
            <b/>
            <sz val="10"/>
            <color indexed="81"/>
            <rFont val="Times New Roman"/>
            <family val="1"/>
          </rPr>
          <t xml:space="preserve">Base de Cálculo do Aviso Prévio Trabalhado:
- Referencial Técnico de Custos – Audin-MPU – 4ª Edição:
- MÓDULO 3 - PROVISÃO PARA RESCISÃO:
- Alínea 3.D. - Aviso Prévio Trabalhado
- Base de Cálculo: Módulo 1 + Submódulo 2.1 
- Percentual: 1,03%
- Decorrido um ano de vigência do contrato, caso haja prorrogação, o percentual informado na célula E83 deverá ser reduzido para 10% do valor original da proposta. Referencial Técnico de Custos – Audin-MPU – 4ª Edição.
</t>
        </r>
      </text>
    </comment>
    <comment ref="F86" authorId="1" shapeId="0" xr:uid="{26DD5A83-8E1F-4919-9A7F-AEDFA76E484A}">
      <text>
        <r>
          <rPr>
            <b/>
            <sz val="9"/>
            <color indexed="81"/>
            <rFont val="Segoe UI"/>
            <family val="2"/>
          </rPr>
          <t>Base de Cálculo da Incidência dos Encargos do Submódulo 2.2 sobre o Aviso Prévio Trabalhado:
- Referencial Técnico de Custos – Audin-MPU – 4ª Edição:
- MÓDULO 3 - PROVISÃO PARA RESCISÃO:
- Alínea 3.E. - Incidência dos Encargos do Submódulo 2.2 sobre o Aviso Prévio Trabalhado
- Base de Cálculo: Módulo 1 + Submódulo 2.1
- Percentual: 0,38%
- Decorrido um ano de vigência do contrato, caso haja prorrogação, o percentual informado na célula E83 deverá ser reduzido para 10% do valor original da proposta. Referencial Técnico de Custos – Audin-MPU – 4ª Edição.</t>
        </r>
        <r>
          <rPr>
            <sz val="9"/>
            <color indexed="81"/>
            <rFont val="Segoe UI"/>
            <family val="2"/>
          </rPr>
          <t xml:space="preserve">
</t>
        </r>
      </text>
    </comment>
    <comment ref="F87" authorId="0" shapeId="0" xr:uid="{0C1EC0CA-2D5D-4422-8DCC-6B6FD4246620}">
      <text>
        <r>
          <rPr>
            <b/>
            <sz val="9"/>
            <color indexed="81"/>
            <rFont val="Times New Roman"/>
            <family val="1"/>
          </rPr>
          <t xml:space="preserve">Base de Cálculo da Multa do FGTS do Aviso Prévio Trabalhado:
- Referencial Técnico de Custos – Audin-MPU – 4ª Edição:
- MÓDULO 3 - PROVISÃO PARA RESCISÃO:
- Alínea 3.F. - Multa do FGTS do Aviso Prévio Trabalhado 
- Base de Cálculo: Módulo 1 + Submódulo 2.1
- Percentual: 1,70%
Decorrido um ano de vigência do contrato, caso haja prorrogação, o percentual informado na célula E84 deverá ser reduzido para 10% do valor original da proposta. Referencial Técnico de Custos – Audin-MPU – 4ª Edição.
</t>
        </r>
      </text>
    </comment>
    <comment ref="E93" authorId="1" shapeId="0" xr:uid="{E811AA1A-9588-4BAF-A8DE-AC06ED03788C}">
      <text>
        <r>
          <rPr>
            <b/>
            <sz val="9"/>
            <color indexed="81"/>
            <rFont val="Times New Roman"/>
            <family val="1"/>
          </rPr>
          <t>Percentual retirado, 8,33%, conforme orientação emanada pela autoridade competente. 
Para outros detalhes, vide documento juntado ao processo de contratação.</t>
        </r>
        <r>
          <rPr>
            <sz val="9"/>
            <color indexed="81"/>
            <rFont val="Segoe UI"/>
            <family val="2"/>
          </rPr>
          <t xml:space="preserve">
</t>
        </r>
      </text>
    </comment>
    <comment ref="F93" authorId="1" shapeId="0" xr:uid="{EF128350-8176-4B7E-B7CA-9DA2E6183CE0}">
      <text>
        <r>
          <rPr>
            <b/>
            <sz val="9"/>
            <color indexed="81"/>
            <rFont val="Times New Roman"/>
            <family val="1"/>
          </rPr>
          <t>Base de Cálculo do Substituto na Cobertura de Férias:
- Referencial Técnico de Custos – Audin-MPU – 4ª Edição:
- MÓDULO 4 - CUSTO DE REPOSIÇÃO DO PROFISSIONAL AUSENTE:
- Submódulo 4.1 – Substituto nas Ausências Legais
- Alínea 4.1.A. - Substituto na cobertura de férias
- Base de Cálculo: Módulo 1 + Módulo 2
- Percentual: 8,33%
- Não haverá substituto por ocasião das férias.</t>
        </r>
        <r>
          <rPr>
            <sz val="9"/>
            <color indexed="81"/>
            <rFont val="Segoe UI"/>
            <family val="2"/>
          </rPr>
          <t xml:space="preserve">
</t>
        </r>
      </text>
    </comment>
    <comment ref="F94" authorId="1" shapeId="0" xr:uid="{F7C10A54-35E9-4715-88C3-80F858DA6D38}">
      <text>
        <r>
          <rPr>
            <b/>
            <sz val="9"/>
            <color indexed="81"/>
            <rFont val="Times New Roman"/>
            <family val="1"/>
          </rPr>
          <t xml:space="preserve">Base de Cálculo do Substituto na Cobertura de Ausências Legais:
- Referencial Técnico de Custos – Audin-MPU – 4ª Edição:
- MÓDULO 4 - CUSTO DE REPOSIÇÃO DO PROFISSIONAL AUSENTE:
- Submódulo 4.1 – Substituto nas Ausências Legais
- Alínea 4.1.B. - Substituto na cobertura de ausências legais
- Base de Cálculo: Módulo 1 + Módulo 2
- Percentual: 2,22%
</t>
        </r>
        <r>
          <rPr>
            <sz val="9"/>
            <color indexed="81"/>
            <rFont val="Segoe UI"/>
            <family val="2"/>
          </rPr>
          <t xml:space="preserve">
</t>
        </r>
      </text>
    </comment>
    <comment ref="F95" authorId="1" shapeId="0" xr:uid="{87C97354-3217-420F-A626-DAB182DA94F1}">
      <text>
        <r>
          <rPr>
            <b/>
            <sz val="9"/>
            <color indexed="81"/>
            <rFont val="Times New Roman"/>
            <family val="1"/>
          </rPr>
          <t xml:space="preserve">Base de Cálculo do Substituto na Cobertura de Licença-paternidade:
- Referencial Técnico de Custos – Audin-MPU – 4ª Edição:
- MÓDULO 4 - CUSTO DE REPOSIÇÃO DO PROFISSIONAL AUSENTE:
- Submódulo 4.1 – Substituto nas Ausências Legais
- Alínea 4.1.C. - Substituto na Cobertura de Licença-paternidade
- Base de Cálculo: Módulo 1 + Módulo 2
- Percentual: 0,04%
</t>
        </r>
        <r>
          <rPr>
            <sz val="9"/>
            <color indexed="81"/>
            <rFont val="Segoe UI"/>
            <family val="2"/>
          </rPr>
          <t xml:space="preserve">
</t>
        </r>
      </text>
    </comment>
    <comment ref="F96" authorId="1" shapeId="0" xr:uid="{777B3010-0226-421D-BEE1-349FB715AE4A}">
      <text>
        <r>
          <rPr>
            <b/>
            <sz val="9"/>
            <color indexed="81"/>
            <rFont val="Times New Roman"/>
            <family val="1"/>
          </rPr>
          <t xml:space="preserve">Base de Cálculo do Substituto na Cobertura de Ausência por Acidente de Trabalho:
- Referencial Técnico de Custos – Audin-MPU – 4ª Edição:
- MÓDULO 4 - CUSTO DE REPOSIÇÃO DO PROFISSIONAL AUSENTE:
- Submódulo 4.1 – Substituto nas Ausências Legais
- Alínea 4.1.D.  - Substituto na Cobertura de Ausência por Acidente de Trabalho
- Base de Cálculo: Módulo 1 + Módulo 2
- Percentual: 0,02%
</t>
        </r>
        <r>
          <rPr>
            <sz val="9"/>
            <color indexed="81"/>
            <rFont val="Segoe UI"/>
            <family val="2"/>
          </rPr>
          <t xml:space="preserve">
</t>
        </r>
      </text>
    </comment>
    <comment ref="F97" authorId="1" shapeId="0" xr:uid="{42AC9127-7538-4F3E-B131-852238E3F912}">
      <text>
        <r>
          <rPr>
            <b/>
            <sz val="9"/>
            <color indexed="81"/>
            <rFont val="Times New Roman"/>
            <family val="1"/>
          </rPr>
          <t xml:space="preserve">Base de Cálculo do Substituto na Cobertura de Afastamento Maternidade:
- Referencial Técnico de Custos – Audin-MPU – 4ª Edição:
- MÓDULO 4 - CUSTO DE REPOSIÇÃO DO PROFISSIONAL AUSENTE:
- Submódulo 4.1 – Substituto nas Ausências Legais
- Alínea 4.1.E.  - Substituto na Cobertura de Afastamento Maternidade
- Base de Cálculo: Módulo 1 + Módulo 2
- Percentual: 0,14%
</t>
        </r>
        <r>
          <rPr>
            <sz val="9"/>
            <color indexed="81"/>
            <rFont val="Segoe UI"/>
            <family val="2"/>
          </rPr>
          <t xml:space="preserve">
</t>
        </r>
      </text>
    </comment>
    <comment ref="F98" authorId="1" shapeId="0" xr:uid="{9AFCA1FC-6EF0-468B-99CD-2DB366C81A3A}">
      <text>
        <r>
          <rPr>
            <b/>
            <sz val="9"/>
            <color indexed="81"/>
            <rFont val="Times New Roman"/>
            <family val="1"/>
          </rPr>
          <t>Base de Cálculo do Substituto na Cobertura de Outras Ausências:
- Referencial Técnico de Custos – Audin-MPU – 4ª Edição:
- MÓDULO 4 - CUSTO DE REPOSIÇÃO DO PROFISSIONAL AUSENTE:
- Submódulo 4.1 – Substituto nas Ausências Legais
- Alínea 4.1.F.  - Substituto na Cobertura de Outras Ausências
- Base de Cálculo: Módulo 1 + Módulo 2 
- Obs.: Poderão ser inseridos outros custos referentes a ausências legais, caso estejam previstos em instrumento coletivo de trabalho ou, ainda, por força de lei.</t>
        </r>
        <r>
          <rPr>
            <sz val="9"/>
            <color indexed="81"/>
            <rFont val="Segoe UI"/>
            <family val="2"/>
          </rPr>
          <t xml:space="preserve">
</t>
        </r>
      </text>
    </comment>
    <comment ref="F102" authorId="1" shapeId="0" xr:uid="{749373BD-49D1-4670-B3C0-6886628527AC}">
      <text>
        <r>
          <rPr>
            <b/>
            <sz val="9"/>
            <color indexed="81"/>
            <rFont val="Times New Roman"/>
            <family val="1"/>
          </rPr>
          <t>Não haverá Substituição na cobertura de Intervalo para repouso ou alimentação.
Base de Cálculo do Substituto na Intrajornada:
- Referencial Técnico de Custos – Audin-MPU – 4ª Edição:
- MÓDULO 4 - CUSTO DE REPOSIÇÃO DO PROFISSIONAL AUSENTE:
- Submódulo 4.2 – Substituto na Intrajornada
- Alínea 4.2.A.  - Substituto na Cobertura de Intervalo para Repouso ou Alimentação
- Base de Cálculo: Módulo 1 + Módulo 2
Metodologia de Cálculo:
Caso a convenção coletiva não disponha de forma diversa, para calcular o valor da remuneração por hora trabalhada, consideram-se os valores totais da remuneração do empregado constante do Módulo 1, somados ao Módulo 2 – Encargos e Benefícios Anuais, Mensais e Diários (desconsiderando-se o 2.4. Intervalo Intrajornada) e, ainda, ao Módulo 3 – Provisão para Rescisão. Desse total, divide-se o valor por 220 horas.
Além disso, conforme previsto no caput do art. 71 c/c o inc. III do art. 611-A da CLT, considera-se o intervalo mínimo de 60 minutos para repouso ou alimentação, salvo disposição prevista em convenção ou acordo coletivo de trabalho, respeitado o limite mínimo de 30 minutos, dividindo-se por 60 minutos, com acréscimo de, no mínimo, 50% da remuneração da hora normal de trabalho.</t>
        </r>
        <r>
          <rPr>
            <sz val="9"/>
            <color indexed="81"/>
            <rFont val="Segoe UI"/>
            <family val="2"/>
          </rPr>
          <t xml:space="preserve">
</t>
        </r>
      </text>
    </comment>
    <comment ref="F111" authorId="0" shapeId="0" xr:uid="{9B6B2C32-2B4D-4982-81BE-69BB67B4B5CC}">
      <text>
        <r>
          <rPr>
            <b/>
            <sz val="9"/>
            <color indexed="81"/>
            <rFont val="Times New Roman"/>
            <family val="1"/>
          </rPr>
          <t xml:space="preserve">Apuração da base de cálculo dos Uniformes
Referencial Técnico de Custos - 4ª Versão - AUDIN-MPU
MÓDULO 5 – INSUMOS DIVERSOS
5.A. - Uniformes
Apura-se o valor mensal do insumo multiplicando-se o preço unitário de cada conjunto de uniformes, após realizada ampla pesquisa de mercado, adotando-se preferencialmente o menor preço encontrado, pelo número de peças fornecidas por empregado em um ano e dividindo-se o resultado pelo número de meses no ano, com vistas a estimar o custo mensal dos uniformes por empregado.
Vide subplanilha de Uniformes - Unif
</t>
        </r>
      </text>
    </comment>
    <comment ref="F112" authorId="1" shapeId="0" xr:uid="{6E533F2A-A6E4-4A29-A77C-E004ED9CDC1A}">
      <text>
        <r>
          <rPr>
            <b/>
            <sz val="9"/>
            <color indexed="81"/>
            <rFont val="Segoe UI"/>
            <family val="2"/>
          </rPr>
          <t>Referencial Técnico de Custos - 4ª Versão - AUDIN-MPU
MÓDULO 5 – INSUMOS DIVERSOS
5.B. - Materiais
Apura-se o valor mensal do insumo multiplicando-se o preço unitário de cada conjunto de uniformes, após realizada ampla pesquisa de mercado, adotando-se preferencialmente o menor preço encontrado, pelo número de peças fornecidas por empregado em um ano e dividindo-se o resultado pelo número de meses no ano, com vistas a estimar o custo mensal dos uniformes por empregado.</t>
        </r>
        <r>
          <rPr>
            <sz val="9"/>
            <color indexed="81"/>
            <rFont val="Segoe UI"/>
            <family val="2"/>
          </rPr>
          <t xml:space="preserve">
</t>
        </r>
      </text>
    </comment>
    <comment ref="F113" authorId="1" shapeId="0" xr:uid="{0431B702-54D2-4707-B934-09FC2FC002FD}">
      <text>
        <r>
          <rPr>
            <b/>
            <sz val="9"/>
            <color indexed="81"/>
            <rFont val="Segoe UI"/>
            <family val="2"/>
          </rPr>
          <t>Referencial Técnico de Custos - 4ª Versão - AUDIN-MPU
MÓDULO 5 – INSUMOS DIVERSOS
5.C. - Equipamentos
Havendo necessidade do emprego de equipamentos, máquinas ou automóveis diretamente na execução dos serviços, o projeto básico ou termo de referência os indicará expressamente, com respectivos quantitativos. O custo de equipamentos deverá ser obtido após realizada ampla pesquisa de mercado, adotando-se preferencialmente o menor preço encontrado.
Diferentemente dos materiais, os equipamentos não são cotados na planilha pelo valor de aquisição integral, mas apenas o valor equivalente à taxa de depreciação anual. Se essa metodologia não for utilizada, a Administração pode cometer o erro de remunerar o contratado, ao fim de um ano, pelo custo de aquisição integral do equipamento, o que seria danoso para o erário, conforme discutido pelo TCU no âmbito do Acórdão TCU nº 966/2010 – Plenário.
Para identificação de vida útil e valor residual necessários para cálculo das taxas de depreciação, recomenda-se a utilização do Manual SIAFI, Macrofunção 020330, item 6. Mas isto não impossibilita a unidade de utilizar outro parâmetro idôneo, tal qual a IN RFB nº 1.700/2017, uma vez que a empresa contratada se vincula a esta para definição de sua depreciação.
Primeiramente, estima-se o custo anual de cada equipamento, após realização de pesquisa de mercado, multiplicando-se esse valor pela taxa anual de depreciação e, ainda, pelo número de meses no ano. Esse resultado deverá ser dividido pelo número total de empregados, para ser calculado o custo dos equipamentos por empregado.
- Manual SIAFI – Macrofunção 020330. DEPRECIAÇÃO, AMORTIZAÇÃO E EXAUSTÃO NA ADM. DIR. UNIÃO, AUT. E FUND.
(...)
6 - ESTIMATIVA DE VIDA ÚTIL ECONÔMICA E TAXA DE DEPRECIAÇÃO
(...)
6.3 Tabela de vida útil e valor residual para cada conta contábil.
- Instrução Normativa RFB nº 1.700, de 14/03/2017 (art. 124, §1º, e Anexo III – Taxas Anuais de Depreciação)
(...)
Art. 124. A taxa anual de depreciação será fixada em função do prazo durante o qual se possa esperar a utilização econômica do bem pelo contribuinte, na produção dos seus rendimentos. § 1º O prazo de vida útil admissível é aquele estabelecido no Anexo III desta Instrução Normativa, ficando assegurado ao contribuinte o direito de computar a quota efetivamente adequada às condições de depreciação dos seus bens, desde que faça prova dessa adequação quando adotar taxa diferente.</t>
        </r>
        <r>
          <rPr>
            <sz val="9"/>
            <color indexed="81"/>
            <rFont val="Segoe UI"/>
            <family val="2"/>
          </rPr>
          <t xml:space="preserve">
</t>
        </r>
        <r>
          <rPr>
            <b/>
            <sz val="9"/>
            <color indexed="81"/>
            <rFont val="Segoe UI"/>
            <family val="2"/>
          </rPr>
          <t>Vide subplanilha Material Permanente - MP.</t>
        </r>
      </text>
    </comment>
    <comment ref="A117" authorId="2" shapeId="0" xr:uid="{EFE524CC-7565-4E33-8C00-19F048A99DDA}">
      <text>
        <r>
          <rPr>
            <sz val="11"/>
            <color theme="1"/>
            <rFont val="Aptos Narrow"/>
            <family val="2"/>
            <scheme val="minor"/>
          </rPr>
          <t xml:space="preserve">O Módulo 6 – Custos Indiretos, Tributos e Lucro –, conforme o Anexo VII-D da Instrução Normativa SEGES/MPDG nº 5/2017, é composto por 3 (três) Alíneas, discriminadas nas rubricas a seguir:
6.A. Custos Indireto;
6.B. Lucro;
6.C. Tributos.
</t>
        </r>
      </text>
    </comment>
    <comment ref="F119" authorId="1" shapeId="0" xr:uid="{B07B29FA-27B5-4EAA-9F92-5F311BF0BFF9}">
      <text>
        <r>
          <rPr>
            <b/>
            <sz val="9"/>
            <color indexed="81"/>
            <rFont val="Times New Roman"/>
            <family val="1"/>
          </rPr>
          <t>Base de Cálculo dos Custos Indiretos:
- Referencial Técnico de Custos – Audin-MPU – 4ª Edição:
- MÓDULO 6 – CUSTOS INDIRETOS, TRIBUTOS E LUCRO:
Percentuais
- 4,73% 
- Fórmula: [(Módulo 1 + Módulo 2 + Módulo 3 + Módulo 4 + Módulo 5) x Custos Indiretos %]</t>
        </r>
        <r>
          <rPr>
            <sz val="9"/>
            <color indexed="81"/>
            <rFont val="Segoe UI"/>
            <family val="2"/>
          </rPr>
          <t xml:space="preserve">
</t>
        </r>
      </text>
    </comment>
    <comment ref="F120" authorId="1" shapeId="0" xr:uid="{A772B12C-DBC6-4402-AB59-4AD08CAAAB32}">
      <text>
        <r>
          <rPr>
            <b/>
            <sz val="9"/>
            <color indexed="81"/>
            <rFont val="Times New Roman"/>
            <family val="1"/>
          </rPr>
          <t>Base de Cálculo do Lucro:
- Referencial Técnico de Custos – Audin-MPU – 4ª Edição:
- MÓDULO 6 – CUSTOS INDIRETOS, TRIBUTOS E LUCRO:
Percentuais:
- 5,57% 
- Fórmula: [(Módulo 1 + Módulo 2 + Módulo 3 + Módulo 4 + Módulo 5 + Custos Indiretos) x Lucro %]</t>
        </r>
        <r>
          <rPr>
            <sz val="9"/>
            <color indexed="81"/>
            <rFont val="Segoe UI"/>
            <family val="2"/>
          </rPr>
          <t xml:space="preserve">
</t>
        </r>
      </text>
    </comment>
    <comment ref="F122" authorId="1" shapeId="0" xr:uid="{149683B1-8917-41FC-80AD-9A6707960E27}">
      <text>
        <r>
          <rPr>
            <b/>
            <sz val="9"/>
            <color indexed="81"/>
            <rFont val="Times New Roman"/>
            <family val="1"/>
          </rPr>
          <t xml:space="preserve">- Fórmula: Base de Cálculo do PIS – Lucro Presumido:
- Referencial Técnico de Custos – Audin-MPU – 4ª Edição:
- MÓDULO 6 – CUSTOS INDIRETOS, TRIBUTOS E LUCRO:
Percentual: 0,65% 
- Fórmula: </t>
        </r>
        <r>
          <rPr>
            <b/>
            <u/>
            <sz val="9"/>
            <color indexed="81"/>
            <rFont val="Times New Roman"/>
            <family val="1"/>
          </rPr>
          <t>[(Somatório dos Módulos 1 + 2 + 3 + 4 + 5 + Custos Indiretos + Lucro) x % do tributo]</t>
        </r>
        <r>
          <rPr>
            <b/>
            <sz val="9"/>
            <color indexed="81"/>
            <rFont val="Times New Roman"/>
            <family val="1"/>
          </rPr>
          <t xml:space="preserve">
                                                               (1 - Σ % dos tributos)</t>
        </r>
        <r>
          <rPr>
            <sz val="9"/>
            <color indexed="81"/>
            <rFont val="Segoe UI"/>
            <family val="2"/>
          </rPr>
          <t xml:space="preserve">
</t>
        </r>
      </text>
    </comment>
    <comment ref="F123" authorId="1" shapeId="0" xr:uid="{3B2D0B5E-8D7E-46EC-A899-EF5E9A30A0E7}">
      <text>
        <r>
          <rPr>
            <b/>
            <sz val="9"/>
            <color indexed="81"/>
            <rFont val="Times New Roman"/>
            <family val="1"/>
          </rPr>
          <t>- Fórmula: Base de Cálculo da Cofins – Lucro Presumido:
- Referencial Técnico de Custos – Audin-MPU – 4ª Edição:
- MÓDULO 6 – CUSTOS INDIRETOS, TRIBUTOS E LUCRO:
Percentual: 3,00% 
- Fórmula: [</t>
        </r>
        <r>
          <rPr>
            <b/>
            <u/>
            <sz val="9"/>
            <color indexed="81"/>
            <rFont val="Times New Roman"/>
            <family val="1"/>
          </rPr>
          <t>(Somatório dos Módulos 1 + 2 + 3 + 4 + 5 + Custos Indiretos + Lucro) x % do tributo]</t>
        </r>
        <r>
          <rPr>
            <b/>
            <sz val="9"/>
            <color indexed="81"/>
            <rFont val="Times New Roman"/>
            <family val="1"/>
          </rPr>
          <t xml:space="preserve">
                                                                     (1 - Σ % dos tributos)</t>
        </r>
        <r>
          <rPr>
            <sz val="9"/>
            <color indexed="81"/>
            <rFont val="Times New Roman"/>
            <family val="1"/>
          </rPr>
          <t xml:space="preserve">
</t>
        </r>
      </text>
    </comment>
    <comment ref="F124" authorId="1" shapeId="0" xr:uid="{5057D229-DECE-4290-93E2-7FF1E3C72E8E}">
      <text>
        <r>
          <rPr>
            <b/>
            <sz val="9"/>
            <color indexed="81"/>
            <rFont val="Times New Roman"/>
            <family val="1"/>
          </rPr>
          <t>- Fórmula: Base de Cálculo do ISS – Lucro Presumido:
- Referencial Técnico de Custos – Audin-MPU – 4ª Edição:
- MÓDULO 6 – CUSTOS INDIRETOS, TRIBUTOS E LUCRO:
Percentual: 5,00% 
- Fórmula: [</t>
        </r>
        <r>
          <rPr>
            <b/>
            <u/>
            <sz val="9"/>
            <color indexed="81"/>
            <rFont val="Times New Roman"/>
            <family val="1"/>
          </rPr>
          <t>(Somatório dos Módulos 1 + 2 + 3 + 4 + 5 + Custos Indiretos + Lucro) x % do tributo]</t>
        </r>
        <r>
          <rPr>
            <b/>
            <sz val="9"/>
            <color indexed="81"/>
            <rFont val="Times New Roman"/>
            <family val="1"/>
          </rPr>
          <t xml:space="preserve">
                                                                    (1 - Σ % dos tributos)</t>
        </r>
        <r>
          <rPr>
            <sz val="9"/>
            <color indexed="81"/>
            <rFont val="Segoe UI"/>
            <family val="2"/>
          </rPr>
          <t xml:space="preserve">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横山 隆一Lyuity Yokoyama</author>
    <author>Autor desconhecido</author>
    <author>Lyuity Yokoyama</author>
  </authors>
  <commentList>
    <comment ref="C26" authorId="0" shapeId="0" xr:uid="{A3C2A097-36B1-41E3-9186-D44F34A32C6D}">
      <text>
        <r>
          <rPr>
            <b/>
            <sz val="8"/>
            <color indexed="81"/>
            <rFont val="Segoe UI"/>
            <family val="2"/>
          </rPr>
          <t xml:space="preserve">Descrição Sumária
Executam serviços de manutenção elétrica, mecânica, hidráulica, carpintaria e alvena ria, substituindo, trocando, limpando, reparando e instalando peças, componentes eequipamentos. conservam vidros e fachadas, limpam recintos e acessórios e tratam depiscinas. trabalham seguindo normas de segurança, higiene, qualidade e proteção aomeio ambiente. </t>
        </r>
        <r>
          <rPr>
            <sz val="9"/>
            <color indexed="81"/>
            <rFont val="Segoe UI"/>
            <family val="2"/>
          </rPr>
          <t xml:space="preserve">
</t>
        </r>
      </text>
    </comment>
    <comment ref="F34" authorId="1" shapeId="0" xr:uid="{09CC63F8-CB98-49FE-9FFF-13561FF8E189}">
      <text>
        <r>
          <rPr>
            <b/>
            <sz val="9"/>
            <color indexed="81"/>
            <rFont val="Times New Roman"/>
            <family val="1"/>
          </rPr>
          <t>Base de cálculo do salário-base contido na:
- Convenção Coletiva de Trabalho 2025/2026
- Anexo I
- Item 22
Registrada no MTE sob o número: PA000133/2025
Referencial Técnico de Custos – AUDIN/MPU – 4ª Edição
MÓDULO 1 – COMPOSIÇÃO DA REMUNERAÇÃO
Alínea 1.A. - Salário Base
Posto com dois serviços agregados: Serviços de Limpeza e Conservação + Copeiragem, sendo o principal de limpeza e conservação</t>
        </r>
      </text>
    </comment>
    <comment ref="F35" authorId="1" shapeId="0" xr:uid="{B12F4512-C98F-47E8-A230-E1A9FF21157B}">
      <text>
        <r>
          <rPr>
            <b/>
            <sz val="9"/>
            <color indexed="81"/>
            <rFont val="Times New Roman"/>
            <family val="1"/>
          </rPr>
          <t xml:space="preserve">Base de cálculo do Adicional de Periculosidade:
Referencial Técnico de Custos – AUDIN/MPU – 4ª Edição
MÓDULO 1 – COMPOSIÇÃO DA REMUNERAÇÃO
Alínea 1.B. - Adicional de periculosidade
O adicional de periculosidade é devido ao empregado cujo trabalho envolva a execução de atividades perigosas, que são as que, por sua natureza ou método de execução, exponham o trabalhador a condições de risco acentuado.
O adicional devido corresponde a 30% do salário contratual, sem os acréscimos resultantes de gratificações, prêmios ou participações nos lucros da empresa. É o que define a Súmula 191 do TST: “O adicional incide apenas sobre o salário básico e não sobre este acrescido de outros adicionais”.
Fórmula: Salário-Base x 30%
</t>
        </r>
      </text>
    </comment>
    <comment ref="F36" authorId="1" shapeId="0" xr:uid="{AD84B369-B21A-42B0-A477-D9039EFBD361}">
      <text>
        <r>
          <rPr>
            <b/>
            <sz val="9"/>
            <color indexed="81"/>
            <rFont val="Times New Roman"/>
            <family val="1"/>
          </rPr>
          <t xml:space="preserve">Base de cálculo do Adicional de Insalubridade:
Referencial Técnico de Custos – AUDIN/MPU – 4ª Edição
MÓDULO 1 – COMPOSIÇÃO DA REMUNERAÇÃO
Alínea 1.C. - Adicional de insalubridade
O adicional de insalubridade é devido ao empregado que, para o desempenho do seu trabalho, tem de realizar atividade insalubre, ou seja, que implique em exposição a agentes nocivos à saúde, acima dos limites de tolerância considerados adequados.
A classificação da atividade como insalubre dá-se mediante edição, pelo Ministério do Trabalho, de quadro de atividades insalubres e os limites de tolerância e tempo máximo de exposição aos agentes nocivos. A norma vigente que disciplina a matéria é a Norma Regulamentadora nº 15, anexa à Portaria 3.214/1978.
Fórmula: Salário-Base x (percentual conforme a exposição ao risco) %
Metodologia de Cálculo:
Para calcular o valor do adicional de insalubridade deve-se multiplicar o valor do salário mínimo vigente pelos seguintes percentuais: máximo – 40%; médio – 20%; mínimo – 10%, conforme for a exposição ao risco.
</t>
        </r>
      </text>
    </comment>
    <comment ref="F37" authorId="1" shapeId="0" xr:uid="{AEE339FA-A928-4286-B0A5-555A7D362AFD}">
      <text>
        <r>
          <rPr>
            <b/>
            <sz val="9"/>
            <color indexed="81"/>
            <rFont val="Times New Roman"/>
            <family val="1"/>
          </rPr>
          <t xml:space="preserve">Base de cálculo do Adicional Noturno:
Referencial Técnico de Custos – AUDIN/MPU – 4ª Edição
MÓDULO 1 – COMPOSIÇÃO DA REMUNERAÇÃO
Alínea 1.D. - Adicional noturno
O adicional noturno é devido ao empregado em virtude da atividade laboral executada entre as 22 horas de um dia e as 5 horas do dia seguinte, remunerado com adicional de 20%.
Fórmula: Remuneração/hora = </t>
        </r>
        <r>
          <rPr>
            <b/>
            <u/>
            <sz val="9"/>
            <color indexed="81"/>
            <rFont val="Times New Roman"/>
            <family val="1"/>
          </rPr>
          <t>(Salário-Base + Adicional de Periculosidade)</t>
        </r>
        <r>
          <rPr>
            <b/>
            <sz val="9"/>
            <color indexed="81"/>
            <rFont val="Times New Roman"/>
            <family val="1"/>
          </rPr>
          <t xml:space="preserve">
                                                                                  220</t>
        </r>
      </text>
    </comment>
    <comment ref="F38" authorId="1" shapeId="0" xr:uid="{AB79680F-868E-4E5B-9AA1-235148E69F1C}">
      <text>
        <r>
          <rPr>
            <b/>
            <sz val="9"/>
            <rFont val="Times New Roman"/>
            <family val="1"/>
          </rPr>
          <t xml:space="preserve">Base de cálculo do Adicional de Hora Noturna Reduzida:
Referencial Técnico de Custos – AUDIN/MPU – 4ª Edição
MÓDULO 1 – COMPOSIÇÃO DA REMUNERAÇÃO
Alínea 1.E. -  - Adicional de hora noturna reduzida
Se a convenção coletiva prever a incorporação do valor da hora de redução noturna ao salário-base ou se a hora noturna adicional houver sido contemplada no valor do adicional noturno, o item hora noturna adicional será igual a 0 (zero).
Entretanto, nos casos em que a hora noturna adicional não houver sido contemplada no cálculo do adicional noturno, deverá ser calculada somente a hora de redução noturna, conforme a seguir.
Fórmula: </t>
        </r>
        <r>
          <rPr>
            <b/>
            <u/>
            <sz val="9"/>
            <color rgb="FF000000"/>
            <rFont val="Times New Roman"/>
            <family val="1"/>
          </rPr>
          <t xml:space="preserve">(Salário-Base + Adic. de Periculosidade)
</t>
        </r>
        <r>
          <rPr>
            <b/>
            <sz val="9"/>
            <color rgb="FF000000"/>
            <rFont val="Times New Roman"/>
            <family val="1"/>
          </rPr>
          <t xml:space="preserve">                                          220                                                  
</t>
        </r>
      </text>
    </comment>
    <comment ref="F39" authorId="1" shapeId="0" xr:uid="{B4E4291C-4F56-44B7-9AF3-C902E522E843}">
      <text>
        <r>
          <rPr>
            <b/>
            <sz val="9"/>
            <color indexed="81"/>
            <rFont val="Times New Roman"/>
            <family val="1"/>
          </rPr>
          <t xml:space="preserve">Base de cálculo do Adicional de Hora Extra no Feriado Trabalhado:
Referencial Técnico de Custos – AUDIN/MPU – 4ª Edição
MÓDULO 1 – COMPOSIÇÃO DA REMUNERAÇÃO
Alínea 1.F. - Adicional de Hora Extra no Feriado Trabalhado
O adicional de hora extra era devido em virtude do disposto na Súmula nº 444 do TST, que previa o pagamento de hora extra para os domingos e feriados trabalhados na jornada de 12x36 horas. No entanto, o § 1º do art. 59-A da CLT estabeleceu estar abrangido na remuneração mensal pactuada o pagamento pelo descanso semanal remunerado e pelo descanso em feriados e compensados os feriados.
Dessa forma, essa adicional não deverá mais constar do cômputo de remuneração dos trabalhadores inseridos nesta jornada, por força do que dispõe o § 2º do art. 8º da CLT.
Fundamentação:
- CLT (arts. 8º, § 2º, 59-A, § 1º e 73, §§ 1º ao 5º)
</t>
        </r>
      </text>
    </comment>
    <comment ref="F46" authorId="1" shapeId="0" xr:uid="{B8FA31DC-6759-4F46-B51A-F11216D7805D}">
      <text>
        <r>
          <rPr>
            <b/>
            <sz val="9"/>
            <color indexed="81"/>
            <rFont val="Times New Roman"/>
            <family val="1"/>
          </rPr>
          <t xml:space="preserve">Base de Cálculo do 13º Salário:
Referencial Técnico de Custos – Audin-MPU – 4ª Edição:
- MÓDULO 2 – ENCARGOS E BENEFÍCIOS ANUAIS, MENSAIS E DIÁRIOS
- Submódulo 2.1 – 13º (Décimo Terceiro) Salário e Adicional de Férias
- Alínea 2.1.A – 13º (Décimo Terceiro) Salário
- (1/12) x 100 = 8,33%
</t>
        </r>
      </text>
    </comment>
    <comment ref="F47" authorId="1" shapeId="0" xr:uid="{C12D0E7F-3BB8-464D-BAF6-21CA166F2928}">
      <text>
        <r>
          <rPr>
            <b/>
            <sz val="9"/>
            <color indexed="81"/>
            <rFont val="Times New Roman"/>
            <family val="1"/>
          </rPr>
          <t xml:space="preserve">Base de Cálculo do Adicional de Férias:
Referencial Técnico de Custos – Audin-MPU – 4ª Edição:
- MÓDULO 2 – ENCARGOS E BENEFÍCIOS ANUAIS, MENSAIS E DIÁRIOS
- Submódulo 2.1 – 13º (Décimo Terceiro) Salário e Adicional de Férias
- Alínea 2.1.B – Adicional de Férias
- [(1/3)/12] x 100 = 2,78%
</t>
        </r>
      </text>
    </comment>
    <comment ref="F51" authorId="1" shapeId="0" xr:uid="{0FFB438B-DDF3-4F93-8C12-D6A9BC57422C}">
      <text>
        <r>
          <rPr>
            <b/>
            <sz val="9"/>
            <color indexed="81"/>
            <rFont val="Times New Roman"/>
            <family val="1"/>
          </rPr>
          <t>Base de Cálculo do INSS:
- Referencial Técnico de Custos – Audin-MPU – 4ª Edição:
- MÓDULO 2 – ENCARGOS E BENEFÍCIOS ANUAIS, MENSAIS E DIÁRIOS;
- Submódulo 2.2 – Encargos Previdenciários (GPS), Fundo de Garantia por Tempo de Serviço (FGTS) e outras contribuições;
- Alínea 2.2.A - INSS
- Base de Cálculo: Módulo 1 + Submódulo 2.1
- Percentual: 20,00%</t>
        </r>
        <r>
          <rPr>
            <b/>
            <sz val="9"/>
            <color indexed="81"/>
            <rFont val="Arial"/>
            <family val="2"/>
          </rPr>
          <t xml:space="preserve">
</t>
        </r>
      </text>
    </comment>
    <comment ref="F52" authorId="1" shapeId="0" xr:uid="{471ED50B-B1AC-4107-B671-12B75B3B85C1}">
      <text>
        <r>
          <rPr>
            <b/>
            <sz val="9"/>
            <color indexed="81"/>
            <rFont val="Times New Roman"/>
            <family val="1"/>
          </rPr>
          <t xml:space="preserve">Base de Cálculo do Salário Educação:
- Referencial Técnico de Custos – Audin-MPU – 4ª Edição:
- MÓDULO 2 – ENCARGOS E BENEFÍCIOS ANUAIS, MENSAIS E DIÁRIOS;
- Submódulo 2.2 – Encargos Previdenciários (GPS), Fundo de Garantia por
Tempo de Serviço (FGTS) e outras contribuições;
- Alínea 2.2.B - Salário Educação
- Base de Cálculo: Módulo 1 + Submódulo 2.1
- Percentual: 2,50%
</t>
        </r>
      </text>
    </comment>
    <comment ref="F53" authorId="1" shapeId="0" xr:uid="{1929C689-3679-4A65-ADFF-235E39403CD5}">
      <text>
        <r>
          <rPr>
            <b/>
            <sz val="9"/>
            <color indexed="81"/>
            <rFont val="Times New Roman"/>
            <family val="1"/>
          </rPr>
          <t xml:space="preserve">Base de Cálculo do Risco Ambiental do Trabalho – RAT:
- Referencial Técnico de Custos – Audin-MPU – 4ª Edição:
- MÓDULO 2 – ENCARGOS E BENEFÍCIOS ANUAIS, MENSAIS E DIÁRIOS;
- Submódulo 2.2 – Encargos Previdenciários (GPS), Fundo de Garantia por Tempo de Serviço (FGTS) e outras contribuições;
- Alínea 2.2.C - Riscos Ambientais do Trabalho
- Base de Cálculo: Módulo 1 + Submódulo 2.1
- Percentual: de 1 a 3%
</t>
        </r>
      </text>
    </comment>
    <comment ref="F54" authorId="1" shapeId="0" xr:uid="{EC2124AF-C024-49D9-8453-9B29E65F4237}">
      <text>
        <r>
          <rPr>
            <b/>
            <sz val="9"/>
            <color indexed="81"/>
            <rFont val="Times New Roman"/>
            <family val="1"/>
          </rPr>
          <t xml:space="preserve">Base de Cálculo do SESC:
- Referencial Técnico de Custos – Audin-MPU – 4ª Edição:
- MÓDULO 2 – ENCARGOS E BENEFÍCIOS ANUAIS, MENSAIS E DIÁRIOS;
- Submódulo 2.2 – Encargos Previdenciários (GPS), Fundo de Garantia por Tempo de Serviço (FGTS) e outras contribuições;
- Alínea 2.2.D - SESC
- Base de Cálculo: Módulo 1 + Submódulo 2.1
- Percentual: 1,50%
</t>
        </r>
      </text>
    </comment>
    <comment ref="F55" authorId="1" shapeId="0" xr:uid="{651523AA-C9F2-471A-9A94-68383255B268}">
      <text>
        <r>
          <rPr>
            <b/>
            <sz val="9"/>
            <rFont val="Times New Roman"/>
            <family val="1"/>
            <charset val="1"/>
          </rPr>
          <t xml:space="preserve">Base de Cálculo do SENAC:
- Referencial Técnico de Custos – Audin-MPU – 4ª Edição:
- MÓDULO 2 – ENCARGOS E BENEFÍCIOS ANUAIS, MENSAIS E DIÁRIOS;
- Submódulo 2.2 – Encargos Previdenciários (GPS), Fundo de Garantia por Tempo de Serviço (FGTS) e outras contribuições;
- Alínea 2.2.E - SENAC
- Base de Cálculo: Módulo 1 + Submódulo 2.1
- Percentual: 1,00%
</t>
        </r>
      </text>
    </comment>
    <comment ref="E56" authorId="0" shapeId="0" xr:uid="{D3DC6BD4-7171-41D1-82FA-5BA8BEFF9AA0}">
      <text>
        <r>
          <rPr>
            <b/>
            <sz val="9"/>
            <color indexed="81"/>
            <rFont val="Segoe UI"/>
            <family val="2"/>
          </rPr>
          <t>OBSERVAÇÃO:
Importante mencionar que a alíquota de 0,60% corresponde à soma das
alíquotas de 0,3% para o SESC e 0,3% para o SENAC, entidades do Sistema S
abrangidas pelas empresas que prestam serviços aos órgãos públicos.
Em relação às empresas contratadas que são enquadradas mediante o
FPAS 566, a própria empresa contratada deve comprovar qual o percentual que deverá ser utilizado, ou seja, há a previsão de 0,3% ou de 0,6%, a depender do FPAS da contratada.</t>
        </r>
        <r>
          <rPr>
            <sz val="9"/>
            <color indexed="81"/>
            <rFont val="Segoe UI"/>
            <family val="2"/>
          </rPr>
          <t xml:space="preserve">
</t>
        </r>
      </text>
    </comment>
    <comment ref="F56" authorId="1" shapeId="0" xr:uid="{34603FA9-2779-4079-8A53-76EF68D820AC}">
      <text>
        <r>
          <rPr>
            <b/>
            <sz val="9"/>
            <color indexed="81"/>
            <rFont val="Times New Roman"/>
            <family val="1"/>
          </rPr>
          <t>Base de Cálculo do SEBRAE:
- Referencial Técnico de Custos – Audin-MPU – 4ª Edição:
- MÓDULO 2 – ENCARGOS E BENEFÍCIOS ANUAIS, MENSAIS E DIÁRIOS;
- Submódulo 2.2 – Encargos Previdenciários (GPS), Fundo de Garantia por Tempo de Serviço (FGTS) e outras contribuições;
- Alínea 2.2.F - SEBRAE
- Base de Cálculo: Módulo 1 + Submódulo 2.1
- Percentual: 0,60%</t>
        </r>
        <r>
          <rPr>
            <sz val="10"/>
            <rFont val="Arial"/>
            <family val="2"/>
          </rPr>
          <t xml:space="preserve">
</t>
        </r>
      </text>
    </comment>
    <comment ref="F57" authorId="1" shapeId="0" xr:uid="{D2BE0BCE-1625-4CD9-9EDC-9ADBBD119B05}">
      <text>
        <r>
          <rPr>
            <b/>
            <sz val="9"/>
            <color indexed="81"/>
            <rFont val="Times New Roman"/>
            <family val="1"/>
          </rPr>
          <t>Base de Cálculo do INCRA:
- Referencial Técnico de Custos – Audin-MPU – 4ª Edição:
- MÓDULO 2 – ENCARGOS E BENEFÍCIOS ANUAIS, MENSAIS E DIÁRIOS;
- Submódulo 2.2 – Encargos Previdenciários (GPS), Fundo de Garantia por Tempo de Serviço (FGTS) e outras contribuições;
- Alínea 2.2.G - INCRA
- Base de Cálculo: Módulo 1 + Submódulo 2.1
- Percentual: 0,20%</t>
        </r>
        <r>
          <rPr>
            <sz val="10"/>
            <rFont val="Arial"/>
            <family val="2"/>
          </rPr>
          <t xml:space="preserve">
</t>
        </r>
      </text>
    </comment>
    <comment ref="F58" authorId="1" shapeId="0" xr:uid="{E776DDCE-80BF-4F2A-8D4C-9A956FD0C2E7}">
      <text>
        <r>
          <rPr>
            <b/>
            <sz val="9"/>
            <color indexed="81"/>
            <rFont val="Times New Roman"/>
            <family val="1"/>
          </rPr>
          <t>Base de Cálculo do FGTS:
- Referencial Técnico de Custos – Audin-MPU – 4ª Edição:
- MÓDULO 2 – ENCARGOS E BENEFÍCIOS ANUAIS, MENSAIS E DIÁRIOS;
- Submódulo 2.2 – Encargos Previdenciários (GPS), Fundo de Garantia por Tempo de Serviço (FGTS) e outras contribuições;
- Alínea 2.2.H - FGTS
- Base de Cálculo: Módulo 1 + Submódulo 2.1
- Percentual: 8,00%</t>
        </r>
        <r>
          <rPr>
            <sz val="10"/>
            <rFont val="Arial"/>
            <family val="2"/>
          </rPr>
          <t xml:space="preserve">
</t>
        </r>
      </text>
    </comment>
    <comment ref="F63" authorId="1" shapeId="0" xr:uid="{20E2AECA-D0EF-452F-85D3-555B9F50B6D2}">
      <text>
        <r>
          <rPr>
            <b/>
            <sz val="9"/>
            <color indexed="81"/>
            <rFont val="Times New Roman"/>
            <family val="1"/>
          </rPr>
          <t xml:space="preserve">Memória de Cálculo do Vale-Transporte:
- Referencial Técnico de Custos – Audin-MPU – 4ª Edição:
- MÓDULO 2 – ENCARGOS E BENEFÍCIOS ANUAIS, MENSAIS E DIÁRIOS;
- Submódulo 2.3 – Benefícios Mensais e Diários
- Alínea 2.3.A. - Vale-Transporte
- Instrução Normativa SEGES/MPDG nº 5/2017
- Decreto Nº 103788 DE 25/03/2022
- Valor da tarifa da passagem x 2 x 21 – (6% x Salário-Base)
</t>
        </r>
      </text>
    </comment>
    <comment ref="F65" authorId="1" shapeId="0" xr:uid="{5D30E28D-8412-4895-BF80-2534217DA311}">
      <text>
        <r>
          <rPr>
            <b/>
            <sz val="9"/>
            <color indexed="81"/>
            <rFont val="Times New Roman"/>
            <family val="1"/>
          </rPr>
          <t xml:space="preserve">Memória de Cálculo do Vale-Alimentação:
- Referencial Técnico de Custos – Audin-MPU – 4ª Edição:
- MÓDULO 2 – ENCARGOS E BENEFÍCIOS ANUAIS, MENSAIS E DIÁRIOS;
- Submódulo 2.3 – Benefícios Mensais e Diários
- Alínea 2.3.B. - Vale-Alimentação
- Instrução Normativa SEGES/MPDG nº 5/2017
- Valor diário do auxílio-alimentação x 21
- ((25,50 – (25,50 x 10%)) x 21). Valor diário da alimentação – 10% x 21 dias. 
- Referencial AUDIN, 4ª edição c/c CONVENÇÃO COLETIVA 2024/2025 SEAC/SINELPA - AUXÍLIO ALIMENTAÇÃO - CLÁUSULA DÉCIMA QUINTA - TICKET ALIMENTAÇÃO/ CARTÃO REFEIÇÃO
</t>
        </r>
      </text>
    </comment>
    <comment ref="F67" authorId="1" shapeId="0" xr:uid="{F006AF39-FCB7-4B3F-BF66-26F3E65BCC5B}">
      <text>
        <r>
          <rPr>
            <b/>
            <sz val="9"/>
            <color indexed="81"/>
            <rFont val="Times New Roman"/>
            <family val="1"/>
          </rPr>
          <t xml:space="preserve">Seguro de vida em grupo com assistência funeral e familiar:
- Referencial Técnico de Custos – Audin-MPU – 4ª Edição:
- MÓDULO 2 – ENCARGOS E BENEFÍCIOS ANUAIS, MENSAIS E DIÁRIOS;
- Submódulo 2.3 – Benefícios Mensais e Diários
- Alínea 2.3.C. - Seguro de vida em grupo com assistência funeral e familiar
- Instrução Normativa SEGES/MPDG nº 5/2017
-  CONVENÇÃO COLETIVA 2024/2025 SEAC/SINELPA - AUXÍLIO MORTE/FUNERAL - CLÁUSULA DÉCIMA SÉTIMA - SEGURO DE VIDA EM GRUPO COM ASSISTÊNCIA FUNERAL E FAMILIAR
Seguro de vida. Referencial AUDIN, 3ª edição c/c Cláusula 17ª, § 1º, da CCT 2024/2025
</t>
        </r>
      </text>
    </comment>
    <comment ref="F69" authorId="1" shapeId="0" xr:uid="{D43E5BE4-A60F-4B01-AFDA-139C7AE58481}">
      <text>
        <r>
          <rPr>
            <b/>
            <sz val="9"/>
            <color indexed="81"/>
            <rFont val="Times New Roman"/>
            <family val="1"/>
          </rPr>
          <t xml:space="preserve">Cláusula 47ª, caput, da CCT 2024/2025. </t>
        </r>
        <r>
          <rPr>
            <sz val="10"/>
            <rFont val="Arial"/>
            <family val="2"/>
          </rPr>
          <t xml:space="preserve">
</t>
        </r>
      </text>
    </comment>
    <comment ref="A80" authorId="0" shapeId="0" xr:uid="{02B9C6CD-2BFE-4AF7-B27C-8E3AB915B4B6}">
      <text>
        <r>
          <rPr>
            <b/>
            <sz val="9"/>
            <color indexed="81"/>
            <rFont val="Segoe UI"/>
            <family val="2"/>
          </rPr>
          <t>OBSERVAÇÃO
Ao fim do primeiro ano do contrato, o custo com 30 dias de aviso prévio indenizado, previsto na Alínea 3.A, já terá sido completamente pago pela Administração contratante. Assim sendo, após a primeira prorrogação, deverão ser retirados os custos referentes aos percentuais iniciais da planilha de custos e formação de preços, podendo, nessa ocasião, ser incluídos os índices correspondentes a 3/30 ou 1/10 (10%) desse percentual, ou seja, 0,029%, para serviços de vigilância e 0,026% para serviços de limpeza e conservação a cada ano de prorrogação, não cumulativos, isto é, no caso de um segundo ano de prorrogação, o percentual será o mesmo do primeiro ano (10%)
e não 20% do percentual previsto inicialmente na planilha. 
O mesmo ocorre com o aviso prévio trabalhado, previsto na Alínea 3.D, que poderá ter a inclusão, a partir do 1º
ano de prorrogação, dos percentuais de 0,116% e de 0,103%, para serviços de vigilância e de limpeza e conservação, respectivamente. Pelas mesmas razões acima descritas, as Alíneas 3.B e 3.E também sofrem a redução para 1/10 a partir da prorrogação, da mesma forma que as Alíneas 3.A e 3.D, por serem considerados custos não renováveis.</t>
        </r>
        <r>
          <rPr>
            <sz val="9"/>
            <color indexed="81"/>
            <rFont val="Segoe UI"/>
            <family val="2"/>
          </rPr>
          <t xml:space="preserve">
</t>
        </r>
      </text>
    </comment>
    <comment ref="F82" authorId="1" shapeId="0" xr:uid="{C8E783E7-4D31-4B0F-9340-7E649734E00A}">
      <text>
        <r>
          <rPr>
            <b/>
            <sz val="9"/>
            <color indexed="81"/>
            <rFont val="Times New Roman"/>
            <family val="1"/>
          </rPr>
          <t xml:space="preserve">Base de Cálculo do Aviso Prévio Indenizado:
- Referencial Técnico de Custos – Audin-MPU – 4ª Edição:
- MÓDULO 3 - PROVISÃO PARA RESCISÃO:
- Alínea 3.A. - Aviso Prévio Indenizado
- Base de Cálculo: Módulo 1 + Submódulo 2.1 
- Percentual: 0,26% 
Decorrido um ano de vigência do contrato, caso haja prorrogação, o percentual informado na célula E82 deverá ser reduzido para 10% do valor original da proposta. Referencial Técnico de Custos – Audin-MPU – 3ª Edição - página 48.
PORTARIA/MTP Nº 671, DE 8 DE NOVEMBRO DE 2021
https://www.in.gov.br/en/web/dou/-/portaria-359094139
Art. 37. As verbas rescisórias e o aviso prévio serão calculados com base na média dos valores recebidos pelo empregado no curso do contrato de trabalho intermitente.
Art. 38. No contrato de trabalho intermitente, o empregador efetuará o recolhimento das contribuições previdenciárias próprias e do empregado e o depósito do FGTS com base nos valores pagos no período mensal e fornecerá ao empregado comprovante do cumprimento dessas obrigações.
</t>
        </r>
      </text>
    </comment>
    <comment ref="F83" authorId="0" shapeId="0" xr:uid="{17596B9A-C1DF-484F-AD2F-9C5D2AC32E0F}">
      <text>
        <r>
          <rPr>
            <b/>
            <sz val="9"/>
            <color indexed="81"/>
            <rFont val="Segoe UI"/>
            <family val="2"/>
          </rPr>
          <t>Base de Cálculo da Incidência do FGTS sobre o Aviso Prévio Indenizado:
- Referencial Técnico de Custos – Audin-MPU – 4ª Edição:
- MÓDULO 3 - PROVISÃO PARA RESCISÃO:
- Alínea 3.B. - Incidência do FGTS sobre o Aviso Prévio Indenizado
- Base de Cálculo: Módulo 1 + Submódulo 2.1
- Percentual: 0,02% 
- Fonte: Referencial Técnico de Custos – Audin-MPU – 4ª Edição.</t>
        </r>
      </text>
    </comment>
    <comment ref="F84" authorId="0" shapeId="0" xr:uid="{0ECCB57B-24D2-41B7-840B-7FFFD7FAAFDE}">
      <text>
        <r>
          <rPr>
            <b/>
            <sz val="9"/>
            <color indexed="81"/>
            <rFont val="Segoe UI"/>
            <family val="2"/>
          </rPr>
          <t>Base de Cálculo da Multa do FGTS do Aviso Prévio Indenizado:
- Referencial Técnico de Custos – Audin-MPU – 4ª Edição:
- MÓDULO 3 - PROVISÃO PARA RESCISÃO:
- Alínea 3.C. - Multa do FGTS do Aviso Prévio Indenizado
- Base de Cálculo: Módulo 1 + Submódulo 2.1
- Percentual: 0,10% 
- Fonte: Referencial Técnico de Custos – Audin-MPU – 4ª Edição.</t>
        </r>
        <r>
          <rPr>
            <sz val="9"/>
            <color indexed="81"/>
            <rFont val="Segoe UI"/>
            <family val="2"/>
          </rPr>
          <t xml:space="preserve">
</t>
        </r>
      </text>
    </comment>
    <comment ref="E85" authorId="0" shapeId="0" xr:uid="{31C8F9F9-3E19-4B45-BA69-5EE20CB2DA6C}">
      <text>
        <r>
          <rPr>
            <b/>
            <sz val="9"/>
            <color indexed="81"/>
            <rFont val="Segoe UI"/>
            <family val="2"/>
          </rPr>
          <t>[(56,24%) x 94,45% x (7/30) /12] x 100 = 1,03%</t>
        </r>
        <r>
          <rPr>
            <sz val="9"/>
            <color indexed="81"/>
            <rFont val="Segoe UI"/>
            <family val="2"/>
          </rPr>
          <t xml:space="preserve">
</t>
        </r>
      </text>
    </comment>
    <comment ref="F85" authorId="1" shapeId="0" xr:uid="{54EA8ED3-3206-45FA-B069-962483F6FA9D}">
      <text>
        <r>
          <rPr>
            <b/>
            <sz val="10"/>
            <color indexed="81"/>
            <rFont val="Times New Roman"/>
            <family val="1"/>
          </rPr>
          <t xml:space="preserve">Base de Cálculo do Aviso Prévio Trabalhado:
- Referencial Técnico de Custos – Audin-MPU – 4ª Edição:
- MÓDULO 3 - PROVISÃO PARA RESCISÃO:
- Alínea 3.D. - Aviso Prévio Trabalhado
- Base de Cálculo: Módulo 1 + Submódulo 2.1 
- Percentual: 1,03%
- Decorrido um ano de vigência do contrato, caso haja prorrogação, o percentual informado na célula E83 deverá ser reduzido para 10% do valor original da proposta. Referencial Técnico de Custos – Audin-MPU – 4ª Edição.
</t>
        </r>
      </text>
    </comment>
    <comment ref="F86" authorId="0" shapeId="0" xr:uid="{1AE993AA-85FD-46BD-825D-82CFC01B0918}">
      <text>
        <r>
          <rPr>
            <b/>
            <sz val="9"/>
            <color indexed="81"/>
            <rFont val="Segoe UI"/>
            <family val="2"/>
          </rPr>
          <t>Base de Cálculo da Incidência dos Encargos do Submódulo 2.2 sobre o Aviso Prévio Trabalhado:
- Referencial Técnico de Custos – Audin-MPU – 4ª Edição:
- MÓDULO 3 - PROVISÃO PARA RESCISÃO:
- Alínea 3.E. - Incidência dos Encargos do Submódulo 2.2 sobre o Aviso Prévio Trabalhado
- Base de Cálculo: Módulo 1 + Submódulo 2.1
- Percentual: 0,38%
- Decorrido um ano de vigência do contrato, caso haja prorrogação, o percentual informado na célula E83 deverá ser reduzido para 10% do valor original da proposta. Referencial Técnico de Custos – Audin-MPU – 4ª Edição.</t>
        </r>
        <r>
          <rPr>
            <sz val="9"/>
            <color indexed="81"/>
            <rFont val="Segoe UI"/>
            <family val="2"/>
          </rPr>
          <t xml:space="preserve">
</t>
        </r>
      </text>
    </comment>
    <comment ref="F87" authorId="1" shapeId="0" xr:uid="{8CAFA696-9084-4500-9789-B462A3D7299A}">
      <text>
        <r>
          <rPr>
            <b/>
            <sz val="9"/>
            <color indexed="81"/>
            <rFont val="Times New Roman"/>
            <family val="1"/>
          </rPr>
          <t xml:space="preserve">Base de Cálculo da Multa do FGTS do Aviso Prévio Trabalhado:
- Referencial Técnico de Custos – Audin-MPU – 4ª Edição:
- MÓDULO 3 - PROVISÃO PARA RESCISÃO:
- Alínea 3.F. - Multa do FGTS do Aviso Prévio Trabalhado 
- Base de Cálculo: Módulo 1 + Submódulo 2.1
- Percentual: 1,70%
Decorrido um ano de vigência do contrato, caso haja prorrogação, o percentual informado na célula E84 deverá ser reduzido para 10% do valor original da proposta. Referencial Técnico de Custos – Audin-MPU – 4ª Edição.
</t>
        </r>
      </text>
    </comment>
    <comment ref="E93" authorId="1" shapeId="0" xr:uid="{9A1A6FC6-26CD-4511-B870-C039F0969EDF}">
      <text>
        <r>
          <rPr>
            <b/>
            <sz val="9"/>
            <color indexed="81"/>
            <rFont val="Times New Roman"/>
            <family val="1"/>
          </rPr>
          <t>Percentual retirado, 8,33%, conforme orientação emanada pela autoridade competente. 
Para outros detalhes, vide documento juntado ao processo de contratação.</t>
        </r>
        <r>
          <rPr>
            <sz val="10"/>
            <rFont val="Arial"/>
            <family val="2"/>
          </rPr>
          <t xml:space="preserve">
</t>
        </r>
      </text>
    </comment>
    <comment ref="F93" authorId="1" shapeId="0" xr:uid="{5CB8F3E1-FC01-485C-8B71-D31CCB946B7F}">
      <text>
        <r>
          <rPr>
            <b/>
            <sz val="9"/>
            <color indexed="81"/>
            <rFont val="Times New Roman"/>
            <family val="1"/>
          </rPr>
          <t>Base de Cálculo do Substituto na Cobertura de Férias:
- Referencial Técnico de Custos – Audin-MPU – 4ª Edição:
- MÓDULO 4 - CUSTO DE REPOSIÇÃO DO PROFISSIONAL AUSENTE:
- Submódulo 4.1 – Substituto nas Ausências Legais
- Alínea 4.1.A. - Substituto na cobertura de férias
- Base de Cálculo: Módulo 1 + Módulo 2
- Percentual: 8,33%
- Não haverá substituto por ocasião das férias.</t>
        </r>
        <r>
          <rPr>
            <b/>
            <sz val="9"/>
            <color rgb="FF000000"/>
            <rFont val="Times New Roman"/>
            <family val="1"/>
            <charset val="1"/>
          </rPr>
          <t xml:space="preserve">
</t>
        </r>
      </text>
    </comment>
    <comment ref="F94" authorId="1" shapeId="0" xr:uid="{19DC6859-85FB-47EC-8F0D-9166C6900B8E}">
      <text>
        <r>
          <rPr>
            <b/>
            <sz val="9"/>
            <color indexed="81"/>
            <rFont val="Times New Roman"/>
            <family val="1"/>
          </rPr>
          <t xml:space="preserve">Base de Cálculo do Substituto na Cobertura de Ausências Legais:
- Referencial Técnico de Custos – Audin-MPU – 4ª Edição:
- MÓDULO 4 - CUSTO DE REPOSIÇÃO DO PROFISSIONAL AUSENTE:
- Submódulo 4.1 – Substituto nas Ausências Legais
- Alínea 4.1.B. - Substituto na cobertura de ausências legais
- Base de Cálculo: Módulo 1 + Módulo 2
- Percentual: 2,22%
</t>
        </r>
        <r>
          <rPr>
            <sz val="10"/>
            <rFont val="Arial"/>
            <family val="2"/>
          </rPr>
          <t xml:space="preserve">
</t>
        </r>
      </text>
    </comment>
    <comment ref="F95" authorId="1" shapeId="0" xr:uid="{EA84A2FB-09B3-4011-8089-7EDC3E223B0A}">
      <text>
        <r>
          <rPr>
            <b/>
            <sz val="9"/>
            <color indexed="81"/>
            <rFont val="Times New Roman"/>
            <family val="1"/>
          </rPr>
          <t xml:space="preserve">Base de Cálculo do Substituto na Cobertura de Licença-paternidade:
- Referencial Técnico de Custos – Audin-MPU – 4ª Edição:
- MÓDULO 4 - CUSTO DE REPOSIÇÃO DO PROFISSIONAL AUSENTE:
- Submódulo 4.1 – Substituto nas Ausências Legais
- Alínea 4.1.C. - Substituto na Cobertura de Licença-paternidade
- Base de Cálculo: Módulo 1 + Módulo 2
- Percentual: 0,04%
</t>
        </r>
      </text>
    </comment>
    <comment ref="F96" authorId="1" shapeId="0" xr:uid="{09D05982-250E-47E4-A153-72D6E2EC5C51}">
      <text>
        <r>
          <rPr>
            <b/>
            <sz val="9"/>
            <color indexed="81"/>
            <rFont val="Times New Roman"/>
            <family val="1"/>
          </rPr>
          <t xml:space="preserve">Base de Cálculo do Substituto na Cobertura de Ausência por Acidente de Trabalho:
- Referencial Técnico de Custos – Audin-MPU – 4ª Edição:
- MÓDULO 4 - CUSTO DE REPOSIÇÃO DO PROFISSIONAL AUSENTE:
- Submódulo 4.1 – Substituto nas Ausências Legais
- Alínea 4.1.D.  - Substituto na Cobertura de Ausência por Acidente de Trabalho
- Base de Cálculo: Módulo 1 + Módulo 2
- Percentual: 0,02%
</t>
        </r>
      </text>
    </comment>
    <comment ref="F97" authorId="1" shapeId="0" xr:uid="{0F031913-FE26-4E86-996E-0E114B9DCFB2}">
      <text>
        <r>
          <rPr>
            <b/>
            <sz val="9"/>
            <color indexed="81"/>
            <rFont val="Times New Roman"/>
            <family val="1"/>
          </rPr>
          <t xml:space="preserve">Base de Cálculo do Substituto na Cobertura de Afastamento Maternidade:
- Referencial Técnico de Custos – Audin-MPU – 4ª Edição:
- MÓDULO 4 - CUSTO DE REPOSIÇÃO DO PROFISSIONAL AUSENTE:
- Submódulo 4.1 – Substituto nas Ausências Legais
- Alínea 4.1.E.  - Substituto na Cobertura de Afastamento Maternidade
- Base de Cálculo: Módulo 1 + Módulo 2
- Percentual: 0,14%
</t>
        </r>
        <r>
          <rPr>
            <sz val="10"/>
            <rFont val="Arial"/>
            <family val="2"/>
          </rPr>
          <t xml:space="preserve">
</t>
        </r>
      </text>
    </comment>
    <comment ref="F98" authorId="1" shapeId="0" xr:uid="{1B7B0621-F102-443C-AECC-082DF8AD1004}">
      <text>
        <r>
          <rPr>
            <b/>
            <sz val="9"/>
            <color indexed="81"/>
            <rFont val="Times New Roman"/>
            <family val="1"/>
          </rPr>
          <t>Base de Cálculo do Substituto na Cobertura de Outras Ausências:
- Referencial Técnico de Custos – Audin-MPU – 4ª Edição:
- MÓDULO 4 - CUSTO DE REPOSIÇÃO DO PROFISSIONAL AUSENTE:
- Submódulo 4.1 – Substituto nas Ausências Legais
- Alínea 4.1.F.  - Substituto na Cobertura de Outras Ausências
- Base de Cálculo: Módulo 1 + Módulo 2 
- Obs.: Poderão ser inseridos outros custos referentes a ausências legais, caso estejam previstos em instrumento coletivo de trabalho ou, ainda, por força de lei.</t>
        </r>
      </text>
    </comment>
    <comment ref="F102" authorId="1" shapeId="0" xr:uid="{B577C111-2E76-4A72-88F5-394AE6826928}">
      <text>
        <r>
          <rPr>
            <b/>
            <sz val="9"/>
            <color indexed="81"/>
            <rFont val="Times New Roman"/>
            <family val="1"/>
          </rPr>
          <t>Não haverá Substituição na cobertura de Intervalo para repouso ou alimentação.
Base de Cálculo do Substituto na Intrajornada:
- Referencial Técnico de Custos – Audin-MPU – 4ª Edição:
- MÓDULO 4 - CUSTO DE REPOSIÇÃO DO PROFISSIONAL AUSENTE:
- Submódulo 4.2 – Substituto na Intrajornada
- Alínea 4.2.A.  - Substituto na Cobertura de Intervalo para Repouso ou Alimentação.
- Base de Cálculo: Módulo 1 + Módulo 2
Metodologia de Cálculo:
Caso a convenção coletiva não disponha de forma diversa, para calcular o valor da remuneração por hora trabalhada, consideram-se os valores totais da remuneração do empregado constante do Módulo 1, somados ao Módulo 2 – Encargos e Benefícios Anuais, Mensais e Diários (desconsiderando-se o 2.4. Intervalo Intrajornada) e, ainda, ao Módulo 3 – Provisão para Rescisão. Desse total, divide-se o valor por 220 horas.
Além disso, conforme previsto no caput do art. 71 c/c o inc. III do art. 611-A da CLT, considera-se o intervalo mínimo de 60 minutos para repouso ou alimentação, salvo disposição prevista em convenção ou acordo coletivo de trabalho, respeitado o limite mínimo de 30 minutos, dividindo-se por 60 minutos, com acréscimo de, no mínimo, 50% da remuneração da hora normal de trabalho.</t>
        </r>
        <r>
          <rPr>
            <sz val="10"/>
            <rFont val="Arial"/>
            <family val="2"/>
          </rPr>
          <t xml:space="preserve">
</t>
        </r>
      </text>
    </comment>
    <comment ref="F111" authorId="1" shapeId="0" xr:uid="{46629D9B-245D-421B-89BE-ED2830E87F08}">
      <text>
        <r>
          <rPr>
            <b/>
            <sz val="9"/>
            <color indexed="81"/>
            <rFont val="Times New Roman"/>
            <family val="1"/>
          </rPr>
          <t xml:space="preserve">Apuração da base de cálculo dos Uniformes
Referencial Técnico de Custos - 4ª Versão - AUDIN-MPU
MÓDULO 5 – INSUMOS DIVERSOS
5.A. - Uniformes
Apura-se o valor mensal do insumo multiplicando-se o preço unitário de cada conjunto de uniformes, após realizada ampla pesquisa de mercado, adotando-se preferencialmente o menor preço encontrado, pelo número de peças fornecidas por
empregado em um ano e dividindo-se o resultado pelo número de meses no ano, com vistas a estimar o custo mensal dos uniformes por empregado.
Vide subplanilha de Uniformes - Unif
</t>
        </r>
      </text>
    </comment>
    <comment ref="F112" authorId="1" shapeId="0" xr:uid="{A3FAE122-3173-484D-930F-D2B7E02147C5}">
      <text>
        <r>
          <rPr>
            <b/>
            <sz val="9"/>
            <color indexed="81"/>
            <rFont val="Times New Roman"/>
            <family val="1"/>
          </rPr>
          <t>Apuração da base de cálculo dos Materiais
Referencial Técnico de Custos - 4ª Versão - AUDIN-MPU
MÓDULO 5 – INSUMOS DIVERSOS
5.B. - Materiais
Apura-se o valor mensal do insumo multiplicando-se o preço unitário de cada conjunto de uniformes, após realizada ampla pesquisa de mercado, adotando-se preferencialmente o menor preço encontrado, pelo número de peças fornecidas por
empregado em um ano e dividindo-se o resultado pelo número de meses no ano, com vistas a estimar o custo mensal dos uniformes por empregado.
Vide subplanilhas MLHCC - Ônus da Contratada + MLPH
Material de Limpeza e Produtos de Higienização de Copa e Cozinha
                                              +
Material de Limpeza e Produtos de Higienização</t>
        </r>
      </text>
    </comment>
    <comment ref="F113" authorId="1" shapeId="0" xr:uid="{1CF48D7E-B642-4AD2-B115-1BB2EFF4E408}">
      <text>
        <r>
          <rPr>
            <b/>
            <sz val="9"/>
            <color indexed="81"/>
            <rFont val="Times New Roman"/>
            <family val="1"/>
          </rPr>
          <t xml:space="preserve">Referencial Técnico de Custos - 4ª Versão - AUDIN-MPU
MÓDULO 5 – INSUMOS DIVERSOS
5.C. - Equipamentos
Havendo necessidade do emprego de equipamentos, máquinas ou automóveis diretamente na execução dos serviços, o projeto básico ou termo de referência os indicará expressamente, com respectivos quantitativos. O custo de equipamentos deverá ser obtido após realizada ampla pesquisa de mercado, adotando-se preferencialmente o menor preço encontrado.
Diferentemente dos materiais, os equipamentos não são cotados na planilha pelo valor de aquisição integral, mas apenas o valor equivalente à taxa de depreciação anual. Se essa metodologia não for utilizada, a Administração pode cometer o erro de remunerar o contratado, ao fim de um ano, pelo custo de aquisição integral do equipamento, o que seria danoso para o erário, conforme discutido pelo TCU no âmbito do Acórdão TCU nº 966/2010 – Plenário.
Para identificação de vida útil e valor residual necessários para cálculo das taxas de depreciação, recomenda-se a utilização do Manual SIAFI, Macrofunção 020330, item 6. Mas isto não impossibilita a unidade de utilizar outro parâmetro idôneo, tal qual a IN RFB nº 1.700/2017, uma vez que a empresa contratada se vincula a esta para definição de sua depreciação.
Primeiramente, estima-se o custo anual de cada equipamento, após realização de pesquisa de mercado, multiplicando-se esse valor pela taxa anual de depreciação e, ainda, pelo número de meses no ano. Esse resultado deverá ser dividido pelo número total de empregados, para ser calculado o custo dos equipamentos por empregado.
- Manual SIAFI – Macrofunção 020330. DEPRECIAÇÃO, AMORTIZAÇÃO E EXAUSTÃO NA ADM. DIR. UNIÃO, AUT. E FUND.
(...)
6 - ESTIMATIVA DE VIDA ÚTIL ECONÔMICA E TAXA DE DEPRECIAÇÃO
(...)
6.3 Tabela de vida útil e valor residual para cada conta contábil.
- Instrução Normativa RFB nº 1.700, de 14/03/2017 (art. 124, §1º, e Anexo III – Taxas Anuais de Depreciação)
(...)
Art. 124. A taxa anual de depreciação será fixada em função do prazo durante o qual se possa esperar a utilização econômica do bem pelo contribuinte, na produção dos seus rendimentos. § 1º O prazo de vida útil admissível é aquele estabelecido no Anexo III desta Instrução Normativa, ficando assegurado ao contribuinte o direito de computar a quota efetivamente adequada às condições de depreciação dos seus bens, desde que faça prova dessa adequação quando adotar taxa diferente.
Vide subplanilha Material Permanente - MP
</t>
        </r>
        <r>
          <rPr>
            <sz val="10"/>
            <rFont val="Arial"/>
            <family val="2"/>
          </rPr>
          <t xml:space="preserve">
</t>
        </r>
      </text>
    </comment>
    <comment ref="F114" authorId="0" shapeId="0" xr:uid="{39443F6A-BC98-4E76-B012-E68F425B19DC}">
      <text>
        <r>
          <rPr>
            <b/>
            <sz val="9"/>
            <color indexed="81"/>
            <rFont val="Segoe UI"/>
            <family val="2"/>
          </rPr>
          <t>Vide subplanilha Equipamento e Proteção Individual - EPI's - LC</t>
        </r>
      </text>
    </comment>
    <comment ref="A117" authorId="2" shapeId="0" xr:uid="{A1138679-D63C-4C0C-B7A8-9EF4F82E9CB7}">
      <text>
        <r>
          <rPr>
            <sz val="11"/>
            <color theme="1"/>
            <rFont val="Aptos Narrow"/>
            <family val="2"/>
            <scheme val="minor"/>
          </rPr>
          <t xml:space="preserve">O Módulo 6 – Custos Indiretos, Tributos e Lucro –, conforme o Anexo VII-D da Instrução Normativa SEGES/MPDG nº 5/2017, é composto por 3 (três) Alíneas, discriminadas nas rubricas a seguir:
6.A. Custos Indireto;
6.B. Lucro;
6.C. Tributos.
</t>
        </r>
      </text>
    </comment>
    <comment ref="F119" authorId="1" shapeId="0" xr:uid="{6C2507ED-9925-4FCF-A8D5-0BEAA4F6671F}">
      <text>
        <r>
          <rPr>
            <b/>
            <sz val="9"/>
            <color indexed="81"/>
            <rFont val="Times New Roman"/>
            <family val="1"/>
          </rPr>
          <t>Base de Cálculo dos Custos Indiretos:
- Referencial Técnico de Custos – Audin-MPU – 4ª Edição:
- MÓDULO 6 – CUSTOS INDIRETOS, TRIBUTOS E LUCRO:
Percentuais
- 4,73% 
- Fórmula: [(Módulo 1 + Módulo 2 + Módulo 3 + Módulo 4 + Módulo 5) x Custos Indiretos %]</t>
        </r>
      </text>
    </comment>
    <comment ref="F120" authorId="1" shapeId="0" xr:uid="{553AF4B8-EF54-46BA-8208-E57150CBEF96}">
      <text>
        <r>
          <rPr>
            <b/>
            <sz val="9"/>
            <rFont val="Times New Roman"/>
            <family val="1"/>
            <charset val="1"/>
          </rPr>
          <t xml:space="preserve">Base de Cálculo do Lucro:
- Referencial Técnico de Custos – Audin-MPU – 4ª Edição:
- MÓDULO 6 – CUSTOS INDIRETOS, TRIBUTOS E LUCRO:
Percentuais:
- 5,57% 
- Fórmula: [(Módulo 1 + Módulo 2 + Módulo 3 + Módulo 4 + Módulo 5 + Custos Indiretos) x Lucro %]
</t>
        </r>
      </text>
    </comment>
    <comment ref="F122" authorId="1" shapeId="0" xr:uid="{47BC1D53-DB78-49A0-B99D-03243FD030C5}">
      <text>
        <r>
          <rPr>
            <b/>
            <sz val="9"/>
            <rFont val="Times New Roman"/>
            <family val="1"/>
          </rPr>
          <t>- Fórmula: Base de Cálculo do PIS – Lucro Presumido:
- Referencial Técnico de Custos – Audin-MPU – 4ª Edição:
- MÓDULO 6 – CUSTOS INDIRETOS, TRIBUTOS E LUCRO:
Percentual: 0,65% 
- Fórmula: [</t>
        </r>
        <r>
          <rPr>
            <b/>
            <u/>
            <sz val="9"/>
            <color rgb="FF000000"/>
            <rFont val="Times New Roman"/>
            <family val="1"/>
          </rPr>
          <t xml:space="preserve">(Somatório dos Módulos 1 + 2 + 3 + 4 + 5 + Custos Indiretos + Lucro) x % do tributo]
</t>
        </r>
        <r>
          <rPr>
            <b/>
            <sz val="9"/>
            <color rgb="FF000000"/>
            <rFont val="Times New Roman"/>
            <family val="1"/>
          </rPr>
          <t xml:space="preserve">                                                               (1 - Σ % dos tributos)
</t>
        </r>
      </text>
    </comment>
    <comment ref="F123" authorId="1" shapeId="0" xr:uid="{AA08ABB7-8C56-4769-A746-0913DE5746EA}">
      <text>
        <r>
          <rPr>
            <b/>
            <sz val="9"/>
            <rFont val="Times New Roman"/>
            <family val="1"/>
          </rPr>
          <t>- Fórmula: Base de Cálculo da Cofins – Lucro Presumido:
- Referencial Técnico de Custos – Audin-MPU – 4ª Edição:
- MÓDULO 6 – CUSTOS INDIRETOS, TRIBUTOS E LUCRO:
Percentual: 3,00% 
- Fórmula: [</t>
        </r>
        <r>
          <rPr>
            <b/>
            <u/>
            <sz val="9"/>
            <color rgb="FF000000"/>
            <rFont val="Times New Roman"/>
            <family val="1"/>
          </rPr>
          <t xml:space="preserve">(Somatório dos Módulos 1 + 2 + 3 + 4 + 5 + Custos Indiretos + Lucro) x % do tributo]
</t>
        </r>
        <r>
          <rPr>
            <b/>
            <sz val="9"/>
            <color rgb="FF000000"/>
            <rFont val="Times New Roman"/>
            <family val="1"/>
          </rPr>
          <t xml:space="preserve">                                                                 (1 - Σ % dos tributos)</t>
        </r>
        <r>
          <rPr>
            <b/>
            <sz val="9"/>
            <color rgb="FF000000"/>
            <rFont val="Times New Roman"/>
            <family val="1"/>
            <charset val="1"/>
          </rPr>
          <t xml:space="preserve">
</t>
        </r>
      </text>
    </comment>
    <comment ref="F124" authorId="1" shapeId="0" xr:uid="{BBEB9E30-98F8-4C4E-A204-714F4D64D59A}">
      <text>
        <r>
          <rPr>
            <b/>
            <sz val="9"/>
            <rFont val="Times New Roman"/>
            <family val="1"/>
          </rPr>
          <t>- Fórmula: Base de Cálculo do ISS – Lucro Presumido:
- Referencial Técnico de Custos – Audin-MPU – 4ª Edição:
- MÓDULO 6 – CUSTOS INDIRETOS, TRIBUTOS E LUCRO:
Percentual: 5,00% 
- Fórmula: [</t>
        </r>
        <r>
          <rPr>
            <b/>
            <u/>
            <sz val="9"/>
            <color rgb="FF000000"/>
            <rFont val="Times New Roman"/>
            <family val="1"/>
          </rPr>
          <t xml:space="preserve">(Somatório dos Módulos 1 + 2 + 3 + 4 + 5 + Custos Indiretos + Lucro) x % do tributo]
</t>
        </r>
        <r>
          <rPr>
            <b/>
            <sz val="9"/>
            <color rgb="FF000000"/>
            <rFont val="Times New Roman"/>
            <family val="1"/>
          </rPr>
          <t xml:space="preserve">                                                                (1 - Σ % dos tributos)</t>
        </r>
        <r>
          <rPr>
            <b/>
            <sz val="9"/>
            <color rgb="FF000000"/>
            <rFont val="Times New Roman"/>
            <family val="1"/>
            <charset val="1"/>
          </rPr>
          <t xml:space="preserve">
</t>
        </r>
      </text>
    </comment>
  </commentList>
</comments>
</file>

<file path=xl/sharedStrings.xml><?xml version="1.0" encoding="utf-8"?>
<sst xmlns="http://schemas.openxmlformats.org/spreadsheetml/2006/main" count="1129" uniqueCount="533">
  <si>
    <t>NOMENCLATURA DAS PLANILHAS</t>
  </si>
  <si>
    <t>Item</t>
  </si>
  <si>
    <t>Sigla</t>
  </si>
  <si>
    <t>Nome</t>
  </si>
  <si>
    <t>NP</t>
  </si>
  <si>
    <t>Nomenclatura das Planilhas</t>
  </si>
  <si>
    <t>PC</t>
  </si>
  <si>
    <t>Postos a Serem contratados</t>
  </si>
  <si>
    <t>Gás</t>
  </si>
  <si>
    <t>Aquisição de Recargas de Gás Liquefeito de Petróleo</t>
  </si>
  <si>
    <t>GA</t>
  </si>
  <si>
    <t>Gêneros de Alimentação</t>
  </si>
  <si>
    <t>MLHCC - Ônus da Contratada</t>
  </si>
  <si>
    <t>Material de Limpeza e Produtos de Higienização da Copa e Cozinha</t>
  </si>
  <si>
    <t>MCC - Sob Demanda</t>
  </si>
  <si>
    <t>Material de Copa e Cozinha</t>
  </si>
  <si>
    <t>MLPH</t>
  </si>
  <si>
    <t>Material de Limpeza e Produtos de Higienização</t>
  </si>
  <si>
    <t>Unif</t>
  </si>
  <si>
    <t>Uniformes</t>
  </si>
  <si>
    <t>AAII</t>
  </si>
  <si>
    <t>Auxiliar Administrativo II</t>
  </si>
  <si>
    <t>SL</t>
  </si>
  <si>
    <t>Servente de Limpeza</t>
  </si>
  <si>
    <t>POSTOS</t>
  </si>
  <si>
    <t>Limpeza e Conservação</t>
  </si>
  <si>
    <t>CONVENÇÃO COLETIVA / SALÁRIO NORMATIVO VIGENTE PARA CONTRATAÇÃO E/OU REPACTUAÇÃO DE PREÇOS</t>
  </si>
  <si>
    <t>Postos</t>
  </si>
  <si>
    <t>Convenção Coletiva</t>
  </si>
  <si>
    <t>GÁS E OUTROS MATERIAIS ENGARRAFADOS – 3.3.90.30.04</t>
  </si>
  <si>
    <t>Insumo</t>
  </si>
  <si>
    <t>Unidade de Media</t>
  </si>
  <si>
    <t>Quantidade Mensal</t>
  </si>
  <si>
    <t>Quantidade Anual</t>
  </si>
  <si>
    <t>Valor Nominal por unidade</t>
  </si>
  <si>
    <t>LDI</t>
  </si>
  <si>
    <t>T</t>
  </si>
  <si>
    <t>Valor Máximo  Aceito por Unidade</t>
  </si>
  <si>
    <t>Valor Mensal</t>
  </si>
  <si>
    <t>Valor Anual</t>
  </si>
  <si>
    <t>Recarga de Gás Liquefeito de Petróleo</t>
  </si>
  <si>
    <t>Botijão P13</t>
  </si>
  <si>
    <t>Lucro e Despesas Indiretas - LDI</t>
  </si>
  <si>
    <t>Custos Indiretos</t>
  </si>
  <si>
    <t xml:space="preserve">Lucro </t>
  </si>
  <si>
    <t>Total</t>
  </si>
  <si>
    <t>PIS</t>
  </si>
  <si>
    <t>COFIN</t>
  </si>
  <si>
    <t>ISS</t>
  </si>
  <si>
    <t>GÊNEROS ALIMENTÍCIOS – 3.3.90.30.07</t>
  </si>
  <si>
    <t>Unidade de Medida</t>
  </si>
  <si>
    <t>Valor Total Mensal</t>
  </si>
  <si>
    <t>Valor Total Anual</t>
  </si>
  <si>
    <t xml:space="preserve">Açúcar Cristal </t>
  </si>
  <si>
    <t>Pacote - 01 kg</t>
  </si>
  <si>
    <t>Adoçante dietético -</t>
  </si>
  <si>
    <t>Frasco - 100 ml</t>
  </si>
  <si>
    <t xml:space="preserve">Água - Recarga de água </t>
  </si>
  <si>
    <t>Garrafa - 20 litros</t>
  </si>
  <si>
    <t>Café em Pó - Torrado e Moído</t>
  </si>
  <si>
    <t>Pacote - 250 g</t>
  </si>
  <si>
    <t>Chá - Diversos Sabores</t>
  </si>
  <si>
    <t>Pacote - 10 sachês</t>
  </si>
  <si>
    <t>Leite em pó</t>
  </si>
  <si>
    <t>Pacote - 200 gramas</t>
  </si>
  <si>
    <t>TOTAL</t>
  </si>
  <si>
    <t>MATERIAL DE COPA E COZINHA – 3.3.90.30.21 – SOB DEMANDA</t>
  </si>
  <si>
    <t>Objeto</t>
  </si>
  <si>
    <t>Valor Unitário</t>
  </si>
  <si>
    <t>Não se aplica</t>
  </si>
  <si>
    <t>Detergente Desengordurante Multiuso</t>
  </si>
  <si>
    <t>Frasco</t>
  </si>
  <si>
    <t>Detergente Líquido para Lavar Louças</t>
  </si>
  <si>
    <t>Esponja para limpeza/lavar louças</t>
  </si>
  <si>
    <t>Pacote</t>
  </si>
  <si>
    <t>Limpa alumínio</t>
  </si>
  <si>
    <t>Frasco de 500 ml</t>
  </si>
  <si>
    <t>Palha/lã de aço – Pacote com 08 unidades</t>
  </si>
  <si>
    <t>Pano de chão</t>
  </si>
  <si>
    <t>Unidade</t>
  </si>
  <si>
    <t>Pano de prato</t>
  </si>
  <si>
    <t>Saco para Acondicionamento de Lixo – 30 litros – Pacote com 10 sacos</t>
  </si>
  <si>
    <t>Saco para Acondicionamento de Lixo – 100 litros – Pacote com 10 sacos</t>
  </si>
  <si>
    <t>Papel para Cozinha - Pacote com 02 Rolos</t>
  </si>
  <si>
    <t>Pacote com 02 rolos</t>
  </si>
  <si>
    <t>Papel toalha – Fardo de 1000 folhas divido em pacote de 250 folhas</t>
  </si>
  <si>
    <t>Fardo</t>
  </si>
  <si>
    <t>Sabão em pó – Pacote de 500 gramas</t>
  </si>
  <si>
    <t>Valor Mensal Aproximado</t>
  </si>
  <si>
    <t>Não se Aplica</t>
  </si>
  <si>
    <t>Valor Total Estimado Anual</t>
  </si>
  <si>
    <t>Açucareiro com Colher - Inox</t>
  </si>
  <si>
    <t>x</t>
  </si>
  <si>
    <t>Adaptador Para Garrafa Térmica (Funil Plástico)</t>
  </si>
  <si>
    <t>Bandeja em Aço Inox (30 cm) - Inox</t>
  </si>
  <si>
    <t>Bandeja em Aço Inox (40 cm) - Inox</t>
  </si>
  <si>
    <t xml:space="preserve">Bandeja de Plástico </t>
  </si>
  <si>
    <t>Capa para Galão/Garrfa de 20 Litros</t>
  </si>
  <si>
    <t>Coador de Pano - Café - Tamanho GG</t>
  </si>
  <si>
    <t>Colher Bailarina - Inox</t>
  </si>
  <si>
    <t>Colher de Arroz - Inox</t>
  </si>
  <si>
    <t>Colher de Chá - Inox</t>
  </si>
  <si>
    <t>Colher de Mesa - Para Refeição - Inox</t>
  </si>
  <si>
    <t>Colher de Silicone - Cabo Longo</t>
  </si>
  <si>
    <t>Colher de Sobremesa - Inox</t>
  </si>
  <si>
    <t xml:space="preserve">Concha de Alumínio </t>
  </si>
  <si>
    <t>Conjunto de Potes Para Mantimentos - Inox</t>
  </si>
  <si>
    <t>Conjunto</t>
  </si>
  <si>
    <t>Copo de Vidro - 300 ml</t>
  </si>
  <si>
    <t xml:space="preserve">Copo Descartável de 50 ml </t>
  </si>
  <si>
    <t>Copo Descartável - 100 ml</t>
  </si>
  <si>
    <t>Copo Descartável - 180 ml</t>
  </si>
  <si>
    <t>Copo Descartável - 200 ml</t>
  </si>
  <si>
    <t>Descanso Para Copo - Inox</t>
  </si>
  <si>
    <t>Dispensador Compacto Para Papel Toalha</t>
  </si>
  <si>
    <t>Escorredor - Inox</t>
  </si>
  <si>
    <t>Escova Para Limpeza de Garrafas Térmicas</t>
  </si>
  <si>
    <t>Espátula Para Cortar Bolo - Inox</t>
  </si>
  <si>
    <t xml:space="preserve">Frigideira </t>
  </si>
  <si>
    <t>Faca de Mesa - Inox</t>
  </si>
  <si>
    <t xml:space="preserve">Faca Para Cozinha </t>
  </si>
  <si>
    <t>Faca de Sobremesa - Inox</t>
  </si>
  <si>
    <t>Filtro de Papel nº 103</t>
  </si>
  <si>
    <t>Garfo de Mesa - Inox</t>
  </si>
  <si>
    <t xml:space="preserve">Unidade </t>
  </si>
  <si>
    <t>Garfo de Sobremesa - Inox</t>
  </si>
  <si>
    <t>Garrafa Térmica - 1,8 l - Inox</t>
  </si>
  <si>
    <t>Garrafa Térmica - 2,5 l - Inox</t>
  </si>
  <si>
    <t xml:space="preserve">Garrafa Térmica - 10 litros </t>
  </si>
  <si>
    <t>Guardanapo de Papel</t>
  </si>
  <si>
    <t xml:space="preserve">Guardanapo de Tecido </t>
  </si>
  <si>
    <t xml:space="preserve">Isqueiro </t>
  </si>
  <si>
    <t xml:space="preserve">Jarra de Plástico de 02 litros </t>
  </si>
  <si>
    <t>Jarra Para Água - Com Tampa - Inox</t>
  </si>
  <si>
    <t>Jogo Americano</t>
  </si>
  <si>
    <t>Jogo</t>
  </si>
  <si>
    <t xml:space="preserve">Leiteira / Canecão de Alumínio </t>
  </si>
  <si>
    <t>Porta Sabão/Detergente Líquido/Esponja</t>
  </si>
  <si>
    <t xml:space="preserve">Panela Caçarola nº 30 </t>
  </si>
  <si>
    <t>Prato de Jantar - Louça - 28 cm</t>
  </si>
  <si>
    <t>Prato Descatável - 21 cm</t>
  </si>
  <si>
    <t>Prato Para Sobremesa - Louça - 19 cm</t>
  </si>
  <si>
    <t xml:space="preserve">Pano para Limpeza de Prato (Algodão) </t>
  </si>
  <si>
    <t>Rodo de Limpeza de Pia</t>
  </si>
  <si>
    <t>Suporte Para Filtro de Coador de Café nº 103</t>
  </si>
  <si>
    <t>Suporte Para Talheres - Inox</t>
  </si>
  <si>
    <t>Taça - Vidro - 250 ml</t>
  </si>
  <si>
    <t>Tábua de Madeira Para Cozinha </t>
  </si>
  <si>
    <t>Talher Descatável - Kit - (Colher, Garfo e Faca - Pacote com 10 unidades )</t>
  </si>
  <si>
    <t>Toalha de Bandeja</t>
  </si>
  <si>
    <t xml:space="preserve">Tapete de Porta de Entrada </t>
  </si>
  <si>
    <t>Xícara com Pires Para Café - 50 ml - Louça</t>
  </si>
  <si>
    <t>Xícara com Pires Para Café - 100 ml - Porcelana</t>
  </si>
  <si>
    <t>Xícara com Pires Para Café - 200 ml - Porcelana</t>
  </si>
  <si>
    <t>MATERIAL DE LIMPEZA E PRODUTOS DE HIGINIZAÇÃO – 3.3.90.30.22 – ÔNUSA DA CONTRATADA</t>
  </si>
  <si>
    <t>Água sanitária</t>
  </si>
  <si>
    <t>Galão de 05 litros</t>
  </si>
  <si>
    <t>Álcool comum 70%</t>
  </si>
  <si>
    <t>Frasco de 01 litro</t>
  </si>
  <si>
    <t>Álcool em gel 70%</t>
  </si>
  <si>
    <t>Álcool líquido isopropílico</t>
  </si>
  <si>
    <t>Anti mofo</t>
  </si>
  <si>
    <t xml:space="preserve">Frasco com 400 ml </t>
  </si>
  <si>
    <t>Balde de plástico</t>
  </si>
  <si>
    <t>Balde para MOP úmido</t>
  </si>
  <si>
    <t>Cabo para MOP /vassoura em alumínio reforçado</t>
  </si>
  <si>
    <t>Capturador de odores</t>
  </si>
  <si>
    <t>Revitalizador de Plástico</t>
  </si>
  <si>
    <t>Cesto organizador com tampa</t>
  </si>
  <si>
    <t>Corda de nylon</t>
  </si>
  <si>
    <t>Pacote com uma corda de 10 m</t>
  </si>
  <si>
    <t>Desentupidor de pia sanfonado em borracha</t>
  </si>
  <si>
    <t>Desentupidor de vaso sanitário</t>
  </si>
  <si>
    <t>Desinfetante líquido para banheiro</t>
  </si>
  <si>
    <t>Desodorizador de ar – aerossol – ambiente</t>
  </si>
  <si>
    <t>Dispensador compacto para papel toalha</t>
  </si>
  <si>
    <t>Dispensador compacto para sabonete líquido / álcool em gel para mãos</t>
  </si>
  <si>
    <t>Dispenser para copos descartáveis</t>
  </si>
  <si>
    <t>Escova Espanadeira</t>
  </si>
  <si>
    <t>Escova manual</t>
  </si>
  <si>
    <t>Escova multiuso</t>
  </si>
  <si>
    <t>Escova para limpeza de cantos</t>
  </si>
  <si>
    <t>Escova para limpeza de vasos sanitários – com suporte</t>
  </si>
  <si>
    <t>Esponja de limpeza dupla face</t>
  </si>
  <si>
    <t>Extensão elétrica – 10 m</t>
  </si>
  <si>
    <t>Extensão elétrica – 20 m</t>
  </si>
  <si>
    <t>Fibra para limpeza pesada</t>
  </si>
  <si>
    <t>Flanela</t>
  </si>
  <si>
    <t>Impermeabilizante auto brilhante</t>
  </si>
  <si>
    <t>Inseticida aerossol</t>
  </si>
  <si>
    <t>Kit rodo combinado para limpeza de vidros</t>
  </si>
  <si>
    <t>Limpa metais</t>
  </si>
  <si>
    <t>Limpa vidro</t>
  </si>
  <si>
    <t>Limpador ácido para pisos cerâmicos</t>
  </si>
  <si>
    <t>Limpador bactericida para limpeza de couro, carpete, estofados</t>
  </si>
  <si>
    <t>Limpador multiuso</t>
  </si>
  <si>
    <t>Limpador saponáceo</t>
  </si>
  <si>
    <t>Lixeira – 100 l</t>
  </si>
  <si>
    <t>Lixeira – 12 l</t>
  </si>
  <si>
    <t>Lixeira – 15 l</t>
  </si>
  <si>
    <t>Lixeira – 50 l</t>
  </si>
  <si>
    <t>Lustra móveis</t>
  </si>
  <si>
    <t>Luva de látex multiuso</t>
  </si>
  <si>
    <t>Par</t>
  </si>
  <si>
    <t>Luva de látex natural</t>
  </si>
  <si>
    <t>Mangueira para jardim</t>
  </si>
  <si>
    <t>MOP abrasivo</t>
  </si>
  <si>
    <t>MOP água – em algodão</t>
  </si>
  <si>
    <t>MOP articulado flat</t>
  </si>
  <si>
    <t>Naftalina</t>
  </si>
  <si>
    <t>Pacote de 01 kg</t>
  </si>
  <si>
    <t>Óleo protetivo para inox</t>
  </si>
  <si>
    <t>Litro</t>
  </si>
  <si>
    <t>Pá coletora de lixo</t>
  </si>
  <si>
    <t>Pano multiuso</t>
  </si>
  <si>
    <t>Pano para limpeza de chão</t>
  </si>
  <si>
    <t xml:space="preserve">Papel higiênico - rolo - 300 metros </t>
  </si>
  <si>
    <t>Fardo com 12 unidades</t>
  </si>
  <si>
    <t>Papel higiênico</t>
  </si>
  <si>
    <t>Papel toalha interfoliado</t>
  </si>
  <si>
    <t>Pastilha adesiva sanitária</t>
  </si>
  <si>
    <t>Caixa com 03 unidades</t>
  </si>
  <si>
    <t>Pedra sanitária / desodorizador sanitário</t>
  </si>
  <si>
    <t>Unidade de 25 gramas</t>
  </si>
  <si>
    <t>Placa Sinalizadora de Chão - Banheiro em Manutenção</t>
  </si>
  <si>
    <t>Placa sinalizadora de chão – piso molhado</t>
  </si>
  <si>
    <t>Protetor de vaso sanitário descartável</t>
  </si>
  <si>
    <t>Dispenser com 50 unidades</t>
  </si>
  <si>
    <t>Pulverizador/borrifador plástico</t>
  </si>
  <si>
    <t>Refil MOP abrasivo</t>
  </si>
  <si>
    <t>Refil MOP água – em algodão</t>
  </si>
  <si>
    <t>Refil MOP articulado flat</t>
  </si>
  <si>
    <t>Rodo para piso</t>
  </si>
  <si>
    <t>Refil MOP giratório</t>
  </si>
  <si>
    <t>Sabão em pó</t>
  </si>
  <si>
    <t>Pacote de 500 g</t>
  </si>
  <si>
    <t>Sabão geleia</t>
  </si>
  <si>
    <t>Sabão neutro - em barra</t>
  </si>
  <si>
    <t>Barra Unitária</t>
  </si>
  <si>
    <t>Sabonete líquido – espuma</t>
  </si>
  <si>
    <t>Saco para acondicionamento de lixo - 030 litros</t>
  </si>
  <si>
    <t>Pacote com 10 unidades</t>
  </si>
  <si>
    <t>Saco para acondicionamento de lixo - 050 litros</t>
  </si>
  <si>
    <t>Saco para acondicionamento de lixo - 100 litros</t>
  </si>
  <si>
    <t>Suporte para vassouras</t>
  </si>
  <si>
    <t>Touca higiênica descartável</t>
  </si>
  <si>
    <t>Caixa com 50 unidades</t>
  </si>
  <si>
    <t>Vaselina líquida</t>
  </si>
  <si>
    <t>Garrafa</t>
  </si>
  <si>
    <t>Vassoura de nylon</t>
  </si>
  <si>
    <t>Vassoura de pelo</t>
  </si>
  <si>
    <t>Vassoura grande</t>
  </si>
  <si>
    <t>Vassoura limpa teto</t>
  </si>
  <si>
    <t>Vassoura multiuso</t>
  </si>
  <si>
    <t>Vassoura piaçava</t>
  </si>
  <si>
    <t>UNIFORMES, TECIDOS E AVIAMENTOS – 3.3.90.30.23</t>
  </si>
  <si>
    <t>Auxiliar Administrativo II - Masculino</t>
  </si>
  <si>
    <t>Descrição</t>
  </si>
  <si>
    <t>Quantidade de Pessoas por Posto</t>
  </si>
  <si>
    <t>Quantidade de Peças por Pessoa</t>
  </si>
  <si>
    <t>Periodicidade ao Ano Para Reposição</t>
  </si>
  <si>
    <t>Preço Unitário da Peça</t>
  </si>
  <si>
    <t>Preço Unitário Anual por Pessoa das Peças</t>
  </si>
  <si>
    <t>Preço Total do Posto das Peças</t>
  </si>
  <si>
    <t>Valor Mensal Para Compor Custo da Planilha de Formação de Preços</t>
  </si>
  <si>
    <t xml:space="preserve">Calças sociais preta, azul-marinho ou da cor padrão da empresa,confeccionada em tecido algodão, sob medida; </t>
  </si>
  <si>
    <t xml:space="preserve">Camisas social branca ou da cor padrão da empresa, com manga curta, confeccionada com no mínimo 50% em algodão; </t>
  </si>
  <si>
    <t xml:space="preserve">Pares de meias social de algodão ou poliéster, da cor da calça; </t>
  </si>
  <si>
    <t xml:space="preserve">Pares de sapatos social preto de couro natural ou sintético; </t>
  </si>
  <si>
    <t>Cintos social de 01 (uma) face da cor dos sapatos, em couro natural ou sintético;</t>
  </si>
  <si>
    <t>Jaqueta de moletom na cor preta ou azul marinho;</t>
  </si>
  <si>
    <t>Auxiliar Administrativo II - Feminino</t>
  </si>
  <si>
    <t>Blusas sociais feminina branca ou da cor padrão da empresa, confeccionada em tecido algodão e poliester, com mangas curtas, abertura na frente (para vestir ou desvestir) em toda extensão, com 05 (cinco) ou 06 (seis) botões na cor do tecido em casas verticais e 2(dois) pences na frente e atrás, e bainha de overlock em todas as partes desfiantes do tecido;</t>
  </si>
  <si>
    <t>Calças sociais, da mesma cor do preta ou azul, confeccionada em tecido Oxford 100% poliéster, de 1ª qualidade, sob medida, sem prega, com cós, frente com zíper com 12cm, de nylon fino comum, com braguilha, com 01(um) botão no cós para fechamento na cor do tecido e bainha em overlock em todas as partes desfiantes do tecido;</t>
  </si>
  <si>
    <t>Pares de meias soquete (cano médio) social, tecido fino, de cor natural;</t>
  </si>
  <si>
    <t>Pares de sapatos social fechado, modelo scarpin, com salto médio ou baixo, preto, em couro natural ou sintético e solado em micro sola antiderrapante;</t>
  </si>
  <si>
    <t>Jaqueta de moletom na cor da empresa.</t>
  </si>
  <si>
    <t>Auxiliar Administrativo II - Masculino e Feminino</t>
  </si>
  <si>
    <t>Todos</t>
  </si>
  <si>
    <t>Todos os itens acima</t>
  </si>
  <si>
    <t>Serventes de Limpeza e Conservação - Unisex</t>
  </si>
  <si>
    <t>Calças compridas em brim, tecido 100% algodão</t>
  </si>
  <si>
    <t>Camisas de mangas curtas em tecido 100% algodão com emblema da empresa pintado</t>
  </si>
  <si>
    <t>Calçados, ocupacional tipo sapato, confeccionado em EVA na cor preta, com solado de borracha antiderrapante, registrado junto ao CA do Ministério do Trabalho na Classificação SRC (referência: Modelo SOFTWORKS - Ref. BB65 ou equivalente</t>
  </si>
  <si>
    <t>Pares de meias, de 55% a 78% em algodão, tipo meião para proteger a perna de possíveis
assaduras</t>
  </si>
  <si>
    <t>Par de botas emborrachadas, tipo galocha, de PVC, cano curto, cor preta, solado antiderrapante e com uma pequena elevação no calcanhar para melhor conforto</t>
  </si>
  <si>
    <t>EQUIPAMENTOS DE PROTEÇÃO E SEGURANÇA DE SERVENTES DE LIMPEZA E CONSERVAÇÃO - ENCARGO DA CONTRATADA</t>
  </si>
  <si>
    <t>Descrição dos Materiais</t>
  </si>
  <si>
    <t>Máscara de Proteção</t>
  </si>
  <si>
    <t>Óculos de Proteção</t>
  </si>
  <si>
    <t>DADOS REFERENTES À LICITAÇÃO</t>
  </si>
  <si>
    <t>Nº do Processo</t>
  </si>
  <si>
    <t>PGEA: 1.23.000.000176/2024-97</t>
  </si>
  <si>
    <t>Modalidade de Licitação nº NN/AAAA</t>
  </si>
  <si>
    <t>Pregão Eletrônico nº NN/AAAA</t>
  </si>
  <si>
    <t>DISCRIMINAÇÃO DOS SERVIÇOS</t>
  </si>
  <si>
    <t>Data de apresentação da proposta (dia/mês/ano)</t>
  </si>
  <si>
    <t>DD/MM/AAAA</t>
  </si>
  <si>
    <t>Município/UF de Execução dos Serviços</t>
  </si>
  <si>
    <t>Itaituba</t>
  </si>
  <si>
    <t>Ano Acordo, Convenção ou Sentença Normativa em Dissídio Coletivo</t>
  </si>
  <si>
    <t>Nº de meses de execução contratual</t>
  </si>
  <si>
    <t>IDENTIFICAÇÃO DO SERVIÇO</t>
  </si>
  <si>
    <t>Unidade de medida</t>
  </si>
  <si>
    <t>Posto</t>
  </si>
  <si>
    <t>Quantidade total a contratar (em função da unidade de medida):</t>
  </si>
  <si>
    <t>MÃO DE OBRA VINCULADA À EXECUÇÃO CONTRATUAL</t>
  </si>
  <si>
    <t>Dados para composição dos custos referentes a mão de obra</t>
  </si>
  <si>
    <t>Tipo de Serviço (mesmo serviço com características distintas)</t>
  </si>
  <si>
    <t>Classificação Brasileira de Ocupações (CBO)</t>
  </si>
  <si>
    <t>4110-05 - Auxiliar de escritório</t>
  </si>
  <si>
    <t>Salário Normativo da Categoria Profissional</t>
  </si>
  <si>
    <t>Categoria Profissional (vinculada à execução contratual)</t>
  </si>
  <si>
    <t>Asseio, Conservação, Trabalho temporário e Serviços Terceirizáveis</t>
  </si>
  <si>
    <t>Data-Base da Categoria (dia/mês/ano)</t>
  </si>
  <si>
    <t>PLANILHA DE CUSTOS E FORMAÇÃO DE PREÇOS</t>
  </si>
  <si>
    <t>1 – DA COMPOSIÇÃO DA REMUNERAÇÃO</t>
  </si>
  <si>
    <t>Discriminação</t>
  </si>
  <si>
    <t>Valor R$</t>
  </si>
  <si>
    <t>A</t>
  </si>
  <si>
    <t>Salário Base</t>
  </si>
  <si>
    <t>B</t>
  </si>
  <si>
    <t>Adicional de periculosidade</t>
  </si>
  <si>
    <t>C</t>
  </si>
  <si>
    <t>Adicional de insalubridade</t>
  </si>
  <si>
    <t>D</t>
  </si>
  <si>
    <t>Adicional noturno</t>
  </si>
  <si>
    <t>E</t>
  </si>
  <si>
    <t>Adicional de hora noturna reduzida</t>
  </si>
  <si>
    <t>F</t>
  </si>
  <si>
    <t>Adicional de Hora Extra no Feriado Trabalhado</t>
  </si>
  <si>
    <t>G</t>
  </si>
  <si>
    <t>Outros (especificar)</t>
  </si>
  <si>
    <t>Total Módulo 1</t>
  </si>
  <si>
    <t>MÓDULO 2 – DOS ENCARGOS E BENEFÍCIOS ANUAIS, MENSAIS E DIÁRIOS</t>
  </si>
  <si>
    <t> Submódulo 2.1 - 13º Salário, Férias e Adicional de Férias</t>
  </si>
  <si>
    <t>2.1.</t>
  </si>
  <si>
    <t>13º Salário e Adicional de Férias</t>
  </si>
  <si>
    <t>Percentual (%)</t>
  </si>
  <si>
    <t>13º Salário</t>
  </si>
  <si>
    <t>Adicional de Férias</t>
  </si>
  <si>
    <t>Subtotal Módulo 2.1</t>
  </si>
  <si>
    <t>Submódulo 2.2 - Encargos Previdenciários (GPS), Fundo de Garantia por Tempo de Serviço (FGTS) e outras contribuições</t>
  </si>
  <si>
    <t>2.2.</t>
  </si>
  <si>
    <t>Encargos Previdenciários (GPS), FGTS e outras contribuições</t>
  </si>
  <si>
    <t>INSS</t>
  </si>
  <si>
    <t>Salário Educação</t>
  </si>
  <si>
    <t>Riscos Ambientais do Trabalho</t>
  </si>
  <si>
    <t>SESC</t>
  </si>
  <si>
    <t>SENAC</t>
  </si>
  <si>
    <t>SEBRAE</t>
  </si>
  <si>
    <t>INCRA</t>
  </si>
  <si>
    <t>H</t>
  </si>
  <si>
    <t>FGTS</t>
  </si>
  <si>
    <t>Subtotal Módulo 2.2</t>
  </si>
  <si>
    <t>Submódulo 2.3 - Benefícios Mensais e Diários</t>
  </si>
  <si>
    <t>2.3.</t>
  </si>
  <si>
    <t>Benefícios Mensais e Diários</t>
  </si>
  <si>
    <t>Valor da Passagem</t>
  </si>
  <si>
    <t>Quantidade de Passagens</t>
  </si>
  <si>
    <t>Quantidade de Dias</t>
  </si>
  <si>
    <t>Desconto</t>
  </si>
  <si>
    <t>Valor diário do auxílio-alimentação</t>
  </si>
  <si>
    <t>Seguro de vida em grupo - Assistência funeral/familiar - Assistência Médica e Familiar</t>
  </si>
  <si>
    <t>Auxílio plano de assistência e cuidado pessoal</t>
  </si>
  <si>
    <t>Subtotal Módulo 2.3</t>
  </si>
  <si>
    <t>Quadro-Resumo do Módulo 2 - Encargos e Benefícios anuais, mensais e diários</t>
  </si>
  <si>
    <t>2.</t>
  </si>
  <si>
    <t>Encargos e Benefícios Anuais, Mensais e Diários</t>
  </si>
  <si>
    <t>13º Salário, Férias e Adicional de Férias</t>
  </si>
  <si>
    <t>Encargos Previdenciários (GPS), Fundo de Garantia por Tempo de Serviço (FGTS) e outras contribuições</t>
  </si>
  <si>
    <t>Total Módulo 2</t>
  </si>
  <si>
    <t>MÓDULO 3 – DA PROVISÃO PARA RESCISÃO</t>
  </si>
  <si>
    <t>Provisão para Rescisão</t>
  </si>
  <si>
    <t>Aviso Prévio Indenizado</t>
  </si>
  <si>
    <t>Aviso Prévio Trabalhado</t>
  </si>
  <si>
    <t>Total Módulo 3</t>
  </si>
  <si>
    <t>MÓDULO 4 – DO CUSTO DE REPOSIÇÃO DO PROFISSIONAL AUSENTE</t>
  </si>
  <si>
    <t>Submódulo 4.1 – Substituto nas Ausências Legais</t>
  </si>
  <si>
    <t>4.1</t>
  </si>
  <si>
    <t>Substituto nas Ausências Legais</t>
  </si>
  <si>
    <t>Substituto na cobertura de Férias</t>
  </si>
  <si>
    <t>Substituto na cobertura de Ausências Legais</t>
  </si>
  <si>
    <t>Substituto na cobertura de Licença-paternidade</t>
  </si>
  <si>
    <t>Substituto na cobertura de Ausência por acidente de trabalho</t>
  </si>
  <si>
    <t>Substituto na cobertura de Afastamento Maternidade</t>
  </si>
  <si>
    <t>Substituto na cobertura de Outras ausências (especificar)</t>
  </si>
  <si>
    <t>Subtotal Módulo 4.1</t>
  </si>
  <si>
    <t>Submódulo 4.2 - Substituto na Intrajornada</t>
  </si>
  <si>
    <t>4.2</t>
  </si>
  <si>
    <t>Substituto na Intrajornada </t>
  </si>
  <si>
    <t>Substituto na cobertura de Intervalo para repouso ou alimentação</t>
  </si>
  <si>
    <t>%</t>
  </si>
  <si>
    <t>Quadro-Resumo do Módulo 4 - Custo de Reposição do Profissional Ausente</t>
  </si>
  <si>
    <t>4.</t>
  </si>
  <si>
    <t>Custo de Reposição do Profissional Ausente</t>
  </si>
  <si>
    <t>Total Módulo 4</t>
  </si>
  <si>
    <t>MÓDULO 5 – DOS INSUMOS DIVERSOS</t>
  </si>
  <si>
    <t>Insumos Diversos</t>
  </si>
  <si>
    <t>Materiais</t>
  </si>
  <si>
    <t>Equipamentos</t>
  </si>
  <si>
    <t>Outros (Especificar)</t>
  </si>
  <si>
    <t>Total Módulo 5</t>
  </si>
  <si>
    <t>MÓDULO 6 – CUSTOS INDIRETOS, TRIBUTOS E LUCROS</t>
  </si>
  <si>
    <t>Custo Indireto e Lucro</t>
  </si>
  <si>
    <t>Custo Indireto</t>
  </si>
  <si>
    <t>Lucro</t>
  </si>
  <si>
    <t>Tributos</t>
  </si>
  <si>
    <t>Cofins</t>
  </si>
  <si>
    <t>Total Módulo 6</t>
  </si>
  <si>
    <t>QUADRO-RESUMO DO CUSTO POR EMPREGADO</t>
  </si>
  <si>
    <t>Da Soma dos Módulos</t>
  </si>
  <si>
    <t>Módulo 1 – Da Composição da Remuneração</t>
  </si>
  <si>
    <t>Módulo 2 – Dos Encargos e Benefícios Anuais, Mensais e Diários</t>
  </si>
  <si>
    <t>Módulo 3 – Da Provisão Para Rescisão</t>
  </si>
  <si>
    <t>Módulo 4 – Do Custo de Reposição do Profissional Ausente</t>
  </si>
  <si>
    <t>Módulo 5 – Dos Insumos Diversos</t>
  </si>
  <si>
    <t>Subtotal (A + B + C + D + E)</t>
  </si>
  <si>
    <t>Módulo 6 – Custos Indiretos, Tributos e Lucro</t>
  </si>
  <si>
    <t>Valor Total por Empregado</t>
  </si>
  <si>
    <t>QUADRO-RESUMO DO VALOR MENSAL DOS SERVIÇOS</t>
  </si>
  <si>
    <t>Tipo de Serviço</t>
  </si>
  <si>
    <t>Valor Mensal por Pessoa</t>
  </si>
  <si>
    <t>Quantidade de meses</t>
  </si>
  <si>
    <t>Valor total mensal</t>
  </si>
  <si>
    <t>Serventes de Limpeza e Conservação</t>
  </si>
  <si>
    <t>5143-20 - Serviços de Limpeza e Conservação</t>
  </si>
  <si>
    <t>Ao Senhor Pregoeiro da Procuradoria da República - Pará/Castanhal</t>
  </si>
  <si>
    <t xml:space="preserve">Proposta de Preços </t>
  </si>
  <si>
    <t>Pregão Eletrônico nº XX/2024</t>
  </si>
  <si>
    <t>Processo nº 1.23.000.000176/2024-97</t>
  </si>
  <si>
    <t>O(A) representante da Sociedade Empresária XXX LTDA vem submeter à apreciação de Vossa Senhoria proposta de preços de prestação de serviços de mão de obra terceirizada residente dos seguintes postos: Auxiliar Administrativo II e Servente de Limpeza c/c Copeiragem, com fornecimento de insumos necessários à execução dos serviços de limpeza e conservação, bem como de insumos, sob demanda de gás liquefeito de petróleo, gêneros de alimentação, material de copa e cozinha e material permanente.</t>
  </si>
  <si>
    <t>Dados da Sociedade Proponente</t>
  </si>
  <si>
    <t>Razão Social do Licitante</t>
  </si>
  <si>
    <t>CNPJ</t>
  </si>
  <si>
    <t>Endereço</t>
  </si>
  <si>
    <t>E-mails</t>
  </si>
  <si>
    <t>Telefones:</t>
  </si>
  <si>
    <t>Domicílio Bancário</t>
  </si>
  <si>
    <t xml:space="preserve">Nome do Banco: </t>
  </si>
  <si>
    <t>Número do Banco:</t>
  </si>
  <si>
    <t>Número da Agência:</t>
  </si>
  <si>
    <t>Número da Conta Credora:</t>
  </si>
  <si>
    <t>Dados do(a) Administrador(a)/Representante Legal</t>
  </si>
  <si>
    <t>Nome:</t>
  </si>
  <si>
    <t>Identificação:</t>
  </si>
  <si>
    <t>Número do RG:</t>
  </si>
  <si>
    <t>Órgão Expedidor do RG:</t>
  </si>
  <si>
    <t>Número do CPF:</t>
  </si>
  <si>
    <t>O(A) Administrador(a) Representante Legal Declara que:</t>
  </si>
  <si>
    <t>A validade da proposta é de 90 (NOVENTA) dias, contados a partir do dia subsequente ao da efetiva abertura das propostas;</t>
  </si>
  <si>
    <t>Tem condições para realizar os serviços objeto do Termo de Referência;</t>
  </si>
  <si>
    <t>Recebeu todos os elementos e informações para cumprimento das obrigações objeto da licitação e aceita expressamente as condições dispostas no ato convocatório;</t>
  </si>
  <si>
    <t>Sob as penas da Lei, nesta data, não existem fatos impeditivos à participação desta empresa no presente processo licitatório, estando ciente integralmente dos requisitos de Habilitação do Pregão Eletrônico nº XX/2024, conforme Edital;</t>
  </si>
  <si>
    <t>Nos valores constantes desta proposta estão incluídas todas as despesas relativas ao objeto, tais como: mão de obra, transporte/deslocamento, seguros, taxas, tributos, incidências fiscais e contribuições de qualquer natureza ou espécie, encargos sociais, salários, custos diretos e indiretos e quaisquer outros encargos, quando necessários à perfeita execução do objeto da licitação;</t>
  </si>
  <si>
    <t>Para fins do disposto no art. 7º, inciso XXXIII, da Constituição Federal de 1988, esta empresa não emprega menor de 18 (dezoito) anos em trabalho noturno, perigoso ou insalubre, bem como menor de 16 (dezesseis) anos, salvo na condição de aprendiz, a partir de 14 (quatorze) anos;</t>
  </si>
  <si>
    <t>A presente proposta foi elaborada de maneira independente por esta empresa, e que o conteúdo desta proposta não foi, no todo ou em parte, direta ou indiretamente, informado, discutido com ou recebido de qualquer outro participante potencial ou de fato do Pregão Eletrônico nº XX/2024, por qualquer meio ou por qualquer pessoa;</t>
  </si>
  <si>
    <t xml:space="preserve">Que a Convenção Coletiva de Trabalho adotada para elaboração das Planilhas foram as de número: </t>
  </si>
  <si>
    <t>I</t>
  </si>
  <si>
    <t>Que o regime tributário da proponente é com base no lucro XXXX</t>
  </si>
  <si>
    <t>J</t>
  </si>
  <si>
    <t>Caso nos seja adjudicado o objeto da licitação, comprometemos a assinar o contrato no prazo determinado do Edital e para esse fim fornecemos todos os dados da empresa e de seu representante;</t>
  </si>
  <si>
    <t>K</t>
  </si>
  <si>
    <t>Tem pleno conhecimento das condições e peculiaridades inerentes à natureza do trabalho, que assume total responsabilidade por este fato e que não utilizará deste para quaisquer questionamentos futuros que ensejam avenças técnicas ou financeiras com este (órgão ou entidade)</t>
  </si>
  <si>
    <t>L</t>
  </si>
  <si>
    <t>Que se submete inteiramente a todas as condições do Edital;</t>
  </si>
  <si>
    <t>I - Do Preço da Mão de Obra Terceirizada Residente - Inclusos os Valores dos Materiais de Limpeza e Produtos de Higienização + Uniformes</t>
  </si>
  <si>
    <t>Profissionais Residentes</t>
  </si>
  <si>
    <t>Valor Mensal por Posto</t>
  </si>
  <si>
    <t>Valor Anual por Posto</t>
  </si>
  <si>
    <t>AUXILIAR ADMINISTRATIVO II</t>
  </si>
  <si>
    <t>SERVENTE DE LIMPEZA</t>
  </si>
  <si>
    <t>TOTAL ITEM I</t>
  </si>
  <si>
    <t>II - Do Preço Global dsa Recargas de Gás Liquefeito de Petróleo - Gás de Cozinha - Sob Demanda</t>
  </si>
  <si>
    <t>Recarga de Gás Liquefeito de Petróleo - Botijão P13</t>
  </si>
  <si>
    <t xml:space="preserve">Valor Mensal </t>
  </si>
  <si>
    <t>Valor</t>
  </si>
  <si>
    <t>III - Do Preço Global dos Gêneros de Alimentação - Sob Demanda</t>
  </si>
  <si>
    <t>Gênros Alimentícios: Café, Açúcar, Leite, Adocante e outros</t>
  </si>
  <si>
    <t>IV - Do Preço Global de Materiais de Copa e Cozinha - Sob Demanda</t>
  </si>
  <si>
    <t>Materiais de Copa e Cozinha: Xícara, copo, guardanapo, colher, outros</t>
  </si>
  <si>
    <t>PREÇO TOTAL DA PROPOSTA</t>
  </si>
  <si>
    <t>Valor Total dos Itens I + II + III + IV + V</t>
  </si>
  <si>
    <t>VALOR TOTAL</t>
  </si>
  <si>
    <t>2025/2026</t>
  </si>
  <si>
    <t>2026/2027</t>
  </si>
  <si>
    <t>2027/2028</t>
  </si>
  <si>
    <t>2028/2029</t>
  </si>
  <si>
    <t>2029/2030</t>
  </si>
  <si>
    <t>2030/2031</t>
  </si>
  <si>
    <t>2031/2032</t>
  </si>
  <si>
    <t>2032/2033</t>
  </si>
  <si>
    <t>2033/2034</t>
  </si>
  <si>
    <t>2034/2035</t>
  </si>
  <si>
    <t>PERÍODO</t>
  </si>
  <si>
    <t>VALE-ALIMENTAÇÃO</t>
  </si>
  <si>
    <t>VALE-TRANSPORTE</t>
  </si>
  <si>
    <t>Contratação</t>
  </si>
  <si>
    <t>Alteração</t>
  </si>
  <si>
    <t>QUANTIDADE DE DIAS</t>
  </si>
  <si>
    <t>TODOS OS POSTOS</t>
  </si>
  <si>
    <r>
      <t xml:space="preserve">CONVENÇÃO COLETIVA DE TRABALHO:  </t>
    </r>
    <r>
      <rPr>
        <b/>
        <sz val="8"/>
        <color rgb="FF00B0F0"/>
        <rFont val="Times New Roman"/>
        <family val="1"/>
      </rPr>
      <t>2025/2026</t>
    </r>
  </si>
  <si>
    <r>
      <t xml:space="preserve">NÚMERO DE REGISTRO NO MTE:  </t>
    </r>
    <r>
      <rPr>
        <b/>
        <sz val="8"/>
        <color rgb="FF00B0F0"/>
        <rFont val="Times New Roman"/>
        <family val="1"/>
      </rPr>
      <t>PA000133/2025</t>
    </r>
  </si>
  <si>
    <r>
      <t xml:space="preserve">DATA DE REGISTRO NO MTE:  </t>
    </r>
    <r>
      <rPr>
        <b/>
        <sz val="8"/>
        <color rgb="FF00B0F0"/>
        <rFont val="Times New Roman"/>
        <family val="1"/>
      </rPr>
      <t>06/03/2025</t>
    </r>
  </si>
  <si>
    <t>1º/01/2025</t>
  </si>
  <si>
    <t>Incidência dos Encargos do Submódulo 2.2 sobre o Aviso Prévio Trabalhado</t>
  </si>
  <si>
    <t>Multa do FGTS do Aviso Prévio Trabalhado</t>
  </si>
  <si>
    <t>Incidência do FGTS sobre o Aviso Prévio Indenizado</t>
  </si>
  <si>
    <t>Multa do FGTS do Aviso Prévio Indenizado</t>
  </si>
  <si>
    <t>Incidência dos encargos do submódulo 2.2 sobre o Aviso Prévio Trabalhado</t>
  </si>
  <si>
    <t>Salários.VA.VT.QteDias.LDI.T</t>
  </si>
  <si>
    <t>Referências de salários - Conforme CCTs + Vale-Alimentação + Vale-Transporte + Quantidade de Dias de VA e VT + LDI + Tributos</t>
  </si>
  <si>
    <t>Tributação Sobre Faturamento - T - Lucro Presumido</t>
  </si>
  <si>
    <t> Submódulo 2.1 - 13º Salário e Adicional de Férias</t>
  </si>
  <si>
    <t>Substituto na Cobertura de Férias</t>
  </si>
  <si>
    <t>Substituto na Cobertura de Ausências Legais</t>
  </si>
  <si>
    <t>Substituto na Cobertura de Licença Paternidade</t>
  </si>
  <si>
    <t>Substituto na Cobertura de Ausência por Acidente de Trabalho</t>
  </si>
  <si>
    <t>Substituto na Cobertura de Afastamento Maternidade</t>
  </si>
  <si>
    <t>Substituto na Cobertura de Outras Ausências (Especificar)</t>
  </si>
  <si>
    <t>Substituto na Cobertura de Intervalo para Repouso ou Alimentação</t>
  </si>
  <si>
    <t>Equipamentos - Depreciação de Material Permanente não reversível ao patrimônio Público</t>
  </si>
  <si>
    <t>Outros - Equipamaento de Proteção e Segurança - EPI</t>
  </si>
  <si>
    <t>PREGÃO ELETRÔNICO Nº 90002/2025 – UASG 200075</t>
  </si>
  <si>
    <t>ANEXO II – MODELO DE PROPOSTA E PLANILHA DE CUSTOS E FORMAÇÃO DO VALOR ESTIMADO</t>
  </si>
  <si>
    <t>A PROPOSTA DA LICITANTE DEVE ATENDER TODAS AS CONDIÇÕES EXIGIDAS NO EDITAL, CONFORME MODELO DESTA PLANILHA.</t>
  </si>
  <si>
    <t>A PLANILHA DE CUSTOS E FORMAÇÃO DE PREÇOS (EM FORMATO EDITÁVEL) DEVE SER ENCAMINHADA COMO ANEXO DE PROPOSTA PELO PORTAL DE COMPRAS, SE FOR O CASO, AJUSTADA PELO LICITANTE APÓS SOLICITAÇÃO DO PREGOEIRO PARA ADEQUAÇÃO AO LANCE FINAL / VALOR NEGOCIADO OU SANEAMENTO.</t>
  </si>
  <si>
    <t xml:space="preserve">O LICITANTE DEVE INFORMAR QUAL ACORDO, CONVENÇÃO COLETIVA OU SENTENÇA NORMATIVA QUE BASEIA SUA PROPOSTA DE PREÇOS, INDICANDO OS SINDICATOS. </t>
  </si>
  <si>
    <t>PARA O LICITANTE COMPOR A SUA PLANILHA, BASTA PREENCHER AS CÉLULAS AMARELAS. DESSA FORMA, AS ABAS DA PLANILHA SÃO ATUALIZADAS AUTOMATICAMENTE.</t>
  </si>
  <si>
    <t>O CABEÇALHO ENCONTRA-SE DESBLOQUEADO PARA POSSIBILITAR IDENTIFICAÇÃO/PERSONALIZAÇÃO PELO LICITANTE.</t>
  </si>
  <si>
    <t xml:space="preserve">PARA FORMAÇÃO DO VALOR ESTIMADO DA CONTRATAÇÃO, A ADMINISTRAÇÃO TOMOU POR BASE AS CONVENÇÕES COLETIVAS DE TRABALHO CITADAS NO TERMO DE REFERÊNCIA </t>
  </si>
  <si>
    <t>A METODOLOGIA DE  CÁLCULO DA PLANILHA DO VALOR ESTIMADO DA CONTRATAÇÃO SEGUIU ORIENTAÇÕES DA IN SEGES/MP N° 5/2017 E DO REFERENCIAL TÉCNICO DA AUDIN/MPU DISPONÍVEL EM: https://auditoria.mpu.mp.br/orientacao/terceirizacao/referencial-tecnico-de-custos</t>
  </si>
  <si>
    <t>NAS PLANILHAS DE FORMAÇÃO DE PREÇOS PARA A MÃO DE OBRA  A EMPRESA APRESENTARÁ DE FORMA DETALHADA OS ITENS QUE COMPÕEM O "VALOR MENSAL" PARA CADA POSTO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</si>
</sst>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8" formatCode="&quot;R$&quot;\ #,##0.00;[Red]\-&quot;R$&quot;\ #,##0.00"/>
    <numFmt numFmtId="164" formatCode="&quot;R$&quot;\ #,##0.00"/>
    <numFmt numFmtId="165" formatCode="&quot;R$ &quot;#,##0.00"/>
    <numFmt numFmtId="166" formatCode="&quot;R$ &quot;#,##0.00;[Red]&quot;-R$ &quot;#,##0.00"/>
    <numFmt numFmtId="167" formatCode="#,##0.00\ ;\-#,##0.00\ "/>
    <numFmt numFmtId="168" formatCode="[$R$-416]\ #,##0.00;[Red]\-[$R$-416]\ #,##0.00"/>
  </numFmts>
  <fonts count="34" x14ac:knownFonts="1">
    <font>
      <sz val="11"/>
      <color theme="1"/>
      <name val="Aptos Narrow"/>
      <family val="2"/>
      <scheme val="minor"/>
    </font>
    <font>
      <u/>
      <sz val="11"/>
      <color theme="10"/>
      <name val="Aptos Narrow"/>
      <family val="2"/>
      <scheme val="minor"/>
    </font>
    <font>
      <sz val="8"/>
      <color theme="1"/>
      <name val="Aptos Narrow"/>
      <family val="2"/>
      <scheme val="minor"/>
    </font>
    <font>
      <sz val="9"/>
      <color theme="1"/>
      <name val="Aptos Narrow"/>
      <family val="2"/>
      <scheme val="minor"/>
    </font>
    <font>
      <b/>
      <sz val="11"/>
      <color theme="1"/>
      <name val="Aptos Narrow"/>
      <family val="2"/>
      <scheme val="minor"/>
    </font>
    <font>
      <sz val="9"/>
      <color indexed="81"/>
      <name val="Segoe UI"/>
      <family val="2"/>
    </font>
    <font>
      <b/>
      <sz val="8"/>
      <color indexed="81"/>
      <name val="Segoe UI"/>
      <family val="2"/>
    </font>
    <font>
      <sz val="9"/>
      <color theme="1"/>
      <name val="Times New Roman"/>
      <family val="1"/>
    </font>
    <font>
      <sz val="11"/>
      <color theme="1"/>
      <name val="Times New Roman"/>
      <family val="1"/>
    </font>
    <font>
      <sz val="8"/>
      <color theme="1"/>
      <name val="Times New Roman"/>
      <family val="1"/>
    </font>
    <font>
      <b/>
      <sz val="8"/>
      <color theme="1"/>
      <name val="Times New Roman"/>
      <family val="1"/>
    </font>
    <font>
      <b/>
      <u/>
      <sz val="8"/>
      <color rgb="FF00B0F0"/>
      <name val="Times New Roman"/>
      <family val="1"/>
    </font>
    <font>
      <b/>
      <sz val="8"/>
      <color rgb="FF00B0F0"/>
      <name val="Times New Roman"/>
      <family val="1"/>
    </font>
    <font>
      <b/>
      <i/>
      <sz val="8"/>
      <color theme="1"/>
      <name val="Times New Roman"/>
      <family val="1"/>
    </font>
    <font>
      <b/>
      <sz val="9"/>
      <color indexed="81"/>
      <name val="Times New Roman"/>
      <family val="1"/>
    </font>
    <font>
      <sz val="10"/>
      <name val="Arial"/>
      <family val="2"/>
    </font>
    <font>
      <b/>
      <sz val="9"/>
      <color rgb="FF000000"/>
      <name val="Times New Roman"/>
      <family val="1"/>
      <charset val="1"/>
    </font>
    <font>
      <b/>
      <sz val="9"/>
      <name val="Times New Roman"/>
      <family val="1"/>
    </font>
    <font>
      <b/>
      <u/>
      <sz val="9"/>
      <color rgb="FF000000"/>
      <name val="Times New Roman"/>
      <family val="1"/>
    </font>
    <font>
      <b/>
      <sz val="9"/>
      <color rgb="FF000000"/>
      <name val="Times New Roman"/>
      <family val="1"/>
    </font>
    <font>
      <b/>
      <sz val="9"/>
      <color indexed="81"/>
      <name val="Arial"/>
      <family val="2"/>
    </font>
    <font>
      <b/>
      <sz val="9"/>
      <name val="Times New Roman"/>
      <family val="1"/>
      <charset val="1"/>
    </font>
    <font>
      <b/>
      <sz val="10"/>
      <color indexed="81"/>
      <name val="Times New Roman"/>
      <family val="1"/>
    </font>
    <font>
      <b/>
      <sz val="8"/>
      <color rgb="FF000000"/>
      <name val="Times New Roman"/>
      <family val="1"/>
    </font>
    <font>
      <sz val="8"/>
      <color rgb="FF000000"/>
      <name val="Times New Roman"/>
      <family val="1"/>
    </font>
    <font>
      <sz val="8"/>
      <color rgb="FF000000"/>
      <name val="Times New Roman"/>
      <family val="1"/>
      <charset val="1"/>
    </font>
    <font>
      <b/>
      <sz val="10"/>
      <name val="Arial"/>
      <family val="2"/>
    </font>
    <font>
      <sz val="9"/>
      <name val="Times New Roman"/>
      <family val="1"/>
    </font>
    <font>
      <b/>
      <u/>
      <sz val="9"/>
      <color indexed="81"/>
      <name val="Times New Roman"/>
      <family val="1"/>
    </font>
    <font>
      <b/>
      <sz val="9"/>
      <color indexed="81"/>
      <name val="Segoe UI"/>
      <family val="2"/>
    </font>
    <font>
      <sz val="9"/>
      <color indexed="81"/>
      <name val="Times New Roman"/>
      <family val="1"/>
    </font>
    <font>
      <b/>
      <sz val="8"/>
      <color rgb="FF000000"/>
      <name val="Times New Roman"/>
      <family val="1"/>
      <charset val="1"/>
    </font>
    <font>
      <b/>
      <sz val="14"/>
      <name val="Arial"/>
      <family val="2"/>
    </font>
    <font>
      <b/>
      <sz val="10"/>
      <color rgb="FFFF0000"/>
      <name val="Arial"/>
      <family val="2"/>
    </font>
  </fonts>
  <fills count="21">
    <fill>
      <patternFill patternType="none"/>
    </fill>
    <fill>
      <patternFill patternType="gray125"/>
    </fill>
    <fill>
      <patternFill patternType="solid">
        <fgColor rgb="FFEEEEEE"/>
        <bgColor indexed="64"/>
      </patternFill>
    </fill>
    <fill>
      <patternFill patternType="solid">
        <fgColor rgb="FFFFFFD7"/>
        <bgColor indexed="64"/>
      </patternFill>
    </fill>
    <fill>
      <patternFill patternType="solid">
        <fgColor rgb="FF729FCF"/>
        <bgColor indexed="64"/>
      </patternFill>
    </fill>
    <fill>
      <patternFill patternType="solid">
        <fgColor theme="4" tint="0.59999389629810485"/>
        <bgColor indexed="64"/>
      </patternFill>
    </fill>
    <fill>
      <patternFill patternType="solid">
        <fgColor theme="5"/>
        <bgColor indexed="64"/>
      </patternFill>
    </fill>
    <fill>
      <patternFill patternType="solid">
        <fgColor theme="5" tint="0.59999389629810485"/>
        <bgColor indexed="64"/>
      </patternFill>
    </fill>
    <fill>
      <patternFill patternType="solid">
        <fgColor theme="0"/>
        <bgColor indexed="64"/>
      </patternFill>
    </fill>
    <fill>
      <patternFill patternType="solid">
        <fgColor rgb="FFFEFFDE"/>
        <bgColor indexed="64"/>
      </patternFill>
    </fill>
    <fill>
      <patternFill patternType="solid">
        <fgColor rgb="FFFFFF00"/>
        <bgColor indexed="64"/>
      </patternFill>
    </fill>
    <fill>
      <patternFill patternType="solid">
        <fgColor theme="0" tint="-0.249977111117893"/>
        <bgColor indexed="64"/>
      </patternFill>
    </fill>
    <fill>
      <patternFill patternType="solid">
        <fgColor rgb="FFF6C7AD"/>
        <bgColor rgb="FFFFDBB6"/>
      </patternFill>
    </fill>
    <fill>
      <patternFill patternType="solid">
        <fgColor rgb="FFFFFFD7"/>
        <bgColor rgb="FFFEFFDE"/>
      </patternFill>
    </fill>
    <fill>
      <patternFill patternType="solid">
        <fgColor theme="3" tint="0.89999084444715716"/>
        <bgColor indexed="64"/>
      </patternFill>
    </fill>
    <fill>
      <patternFill patternType="solid">
        <fgColor rgb="FFFEFFDE"/>
        <bgColor rgb="FFFFFFD7"/>
      </patternFill>
    </fill>
    <fill>
      <patternFill patternType="solid">
        <fgColor rgb="FFD9D9D9"/>
        <bgColor rgb="FFC1E5F5"/>
      </patternFill>
    </fill>
    <fill>
      <patternFill patternType="solid">
        <fgColor rgb="FFC1E5F5"/>
        <bgColor rgb="FFD9D9D9"/>
      </patternFill>
    </fill>
    <fill>
      <patternFill patternType="solid">
        <fgColor rgb="FFE87331"/>
        <bgColor rgb="FFFF8080"/>
      </patternFill>
    </fill>
    <fill>
      <patternFill patternType="solid">
        <fgColor rgb="FFFFFF00"/>
        <bgColor rgb="FFFFDBB6"/>
      </patternFill>
    </fill>
    <fill>
      <patternFill patternType="solid">
        <fgColor rgb="FFFFFF00"/>
        <bgColor rgb="FFFEFFDE"/>
      </patternFill>
    </fill>
  </fills>
  <borders count="31">
    <border>
      <left/>
      <right/>
      <top/>
      <bottom/>
      <diagonal/>
    </border>
    <border>
      <left style="double">
        <color rgb="FF000000"/>
      </left>
      <right style="double">
        <color rgb="FF000000"/>
      </right>
      <top style="double">
        <color rgb="FF000000"/>
      </top>
      <bottom style="double">
        <color rgb="FF000000"/>
      </bottom>
      <diagonal/>
    </border>
    <border>
      <left style="double">
        <color rgb="FF000000"/>
      </left>
      <right/>
      <top style="double">
        <color rgb="FF000000"/>
      </top>
      <bottom/>
      <diagonal/>
    </border>
    <border>
      <left/>
      <right/>
      <top style="double">
        <color rgb="FF000000"/>
      </top>
      <bottom/>
      <diagonal/>
    </border>
    <border>
      <left/>
      <right style="double">
        <color rgb="FF000000"/>
      </right>
      <top style="double">
        <color rgb="FF000000"/>
      </top>
      <bottom/>
      <diagonal/>
    </border>
    <border>
      <left style="double">
        <color rgb="FF000000"/>
      </left>
      <right/>
      <top/>
      <bottom/>
      <diagonal/>
    </border>
    <border>
      <left/>
      <right style="double">
        <color rgb="FF000000"/>
      </right>
      <top/>
      <bottom/>
      <diagonal/>
    </border>
    <border>
      <left style="double">
        <color rgb="FF000000"/>
      </left>
      <right/>
      <top/>
      <bottom style="double">
        <color rgb="FF000000"/>
      </bottom>
      <diagonal/>
    </border>
    <border>
      <left/>
      <right/>
      <top/>
      <bottom style="double">
        <color rgb="FF000000"/>
      </bottom>
      <diagonal/>
    </border>
    <border>
      <left/>
      <right style="double">
        <color rgb="FF000000"/>
      </right>
      <top/>
      <bottom style="double">
        <color rgb="FF000000"/>
      </bottom>
      <diagonal/>
    </border>
    <border>
      <left style="double">
        <color rgb="FF000000"/>
      </left>
      <right/>
      <top style="double">
        <color rgb="FF000000"/>
      </top>
      <bottom style="double">
        <color rgb="FF000000"/>
      </bottom>
      <diagonal/>
    </border>
    <border>
      <left/>
      <right/>
      <top style="double">
        <color rgb="FF000000"/>
      </top>
      <bottom style="double">
        <color rgb="FF000000"/>
      </bottom>
      <diagonal/>
    </border>
    <border>
      <left/>
      <right style="double">
        <color rgb="FF000000"/>
      </right>
      <top style="double">
        <color rgb="FF000000"/>
      </top>
      <bottom style="double">
        <color rgb="FF000000"/>
      </bottom>
      <diagonal/>
    </border>
    <border>
      <left style="double">
        <color rgb="FF000000"/>
      </left>
      <right style="double">
        <color rgb="FF000000"/>
      </right>
      <top style="double">
        <color rgb="FF000000"/>
      </top>
      <bottom/>
      <diagonal/>
    </border>
    <border>
      <left style="double">
        <color rgb="FF000000"/>
      </left>
      <right style="double">
        <color rgb="FF000000"/>
      </right>
      <top/>
      <bottom style="double">
        <color rgb="FF000000"/>
      </bottom>
      <diagonal/>
    </border>
    <border>
      <left style="double">
        <color auto="1"/>
      </left>
      <right style="double">
        <color auto="1"/>
      </right>
      <top style="double">
        <color auto="1"/>
      </top>
      <bottom style="double">
        <color auto="1"/>
      </bottom>
      <diagonal/>
    </border>
    <border>
      <left style="double">
        <color auto="1"/>
      </left>
      <right/>
      <top style="double">
        <color auto="1"/>
      </top>
      <bottom style="double">
        <color auto="1"/>
      </bottom>
      <diagonal/>
    </border>
    <border>
      <left/>
      <right/>
      <top style="double">
        <color auto="1"/>
      </top>
      <bottom style="double">
        <color auto="1"/>
      </bottom>
      <diagonal/>
    </border>
    <border>
      <left/>
      <right style="double">
        <color auto="1"/>
      </right>
      <top style="double">
        <color auto="1"/>
      </top>
      <bottom style="double">
        <color auto="1"/>
      </bottom>
      <diagonal/>
    </border>
    <border>
      <left style="double">
        <color auto="1"/>
      </left>
      <right style="double">
        <color auto="1"/>
      </right>
      <top style="double">
        <color auto="1"/>
      </top>
      <bottom/>
      <diagonal/>
    </border>
    <border>
      <left style="double">
        <color auto="1"/>
      </left>
      <right/>
      <top style="double">
        <color auto="1"/>
      </top>
      <bottom/>
      <diagonal/>
    </border>
    <border>
      <left/>
      <right/>
      <top style="double">
        <color auto="1"/>
      </top>
      <bottom/>
      <diagonal/>
    </border>
    <border>
      <left/>
      <right style="double">
        <color auto="1"/>
      </right>
      <top style="double">
        <color auto="1"/>
      </top>
      <bottom/>
      <diagonal/>
    </border>
    <border>
      <left style="double">
        <color auto="1"/>
      </left>
      <right/>
      <top/>
      <bottom style="double">
        <color auto="1"/>
      </bottom>
      <diagonal/>
    </border>
    <border>
      <left/>
      <right/>
      <top/>
      <bottom style="double">
        <color auto="1"/>
      </bottom>
      <diagonal/>
    </border>
    <border>
      <left/>
      <right style="double">
        <color auto="1"/>
      </right>
      <top/>
      <bottom style="double">
        <color auto="1"/>
      </bottom>
      <diagonal/>
    </border>
    <border>
      <left style="double">
        <color rgb="FF000000"/>
      </left>
      <right style="double">
        <color rgb="FF000000"/>
      </right>
      <top/>
      <bottom/>
      <diagonal/>
    </border>
    <border>
      <left/>
      <right/>
      <top style="thin">
        <color rgb="FF000000"/>
      </top>
      <bottom/>
      <diagonal/>
    </border>
    <border>
      <left style="double">
        <color auto="1"/>
      </left>
      <right/>
      <top style="double">
        <color rgb="FF000000"/>
      </top>
      <bottom style="double">
        <color auto="1"/>
      </bottom>
      <diagonal/>
    </border>
    <border>
      <left/>
      <right/>
      <top style="double">
        <color rgb="FF000000"/>
      </top>
      <bottom style="double">
        <color auto="1"/>
      </bottom>
      <diagonal/>
    </border>
    <border>
      <left/>
      <right style="double">
        <color auto="1"/>
      </right>
      <top style="double">
        <color rgb="FF000000"/>
      </top>
      <bottom style="double">
        <color auto="1"/>
      </bottom>
      <diagonal/>
    </border>
  </borders>
  <cellStyleXfs count="4">
    <xf numFmtId="0" fontId="0" fillId="0" borderId="0"/>
    <xf numFmtId="0" fontId="1" fillId="0" borderId="0" applyNumberFormat="0" applyFill="0" applyBorder="0" applyAlignment="0" applyProtection="0"/>
    <xf numFmtId="0" fontId="1" fillId="0" borderId="0" applyNumberFormat="0" applyFill="0" applyBorder="0" applyAlignment="0" applyProtection="0"/>
    <xf numFmtId="0" fontId="15" fillId="0" borderId="0"/>
  </cellStyleXfs>
  <cellXfs count="317">
    <xf numFmtId="0" fontId="0" fillId="0" borderId="0" xfId="0"/>
    <xf numFmtId="0" fontId="2" fillId="0" borderId="0" xfId="0" applyFont="1" applyAlignment="1">
      <alignment horizontal="center"/>
    </xf>
    <xf numFmtId="0" fontId="0" fillId="8" borderId="0" xfId="0" applyFill="1"/>
    <xf numFmtId="0" fontId="4" fillId="0" borderId="0" xfId="0" applyFont="1"/>
    <xf numFmtId="0" fontId="0" fillId="0" borderId="0" xfId="0" applyAlignment="1">
      <alignment horizontal="center"/>
    </xf>
    <xf numFmtId="0" fontId="0" fillId="0" borderId="0" xfId="0" applyAlignment="1">
      <alignment vertical="center"/>
    </xf>
    <xf numFmtId="0" fontId="3" fillId="0" borderId="0" xfId="0" applyFont="1" applyAlignment="1">
      <alignment vertical="center"/>
    </xf>
    <xf numFmtId="0" fontId="4" fillId="0" borderId="0" xfId="0" applyFont="1" applyAlignment="1">
      <alignment vertical="center"/>
    </xf>
    <xf numFmtId="0" fontId="8" fillId="0" borderId="0" xfId="0" applyFont="1"/>
    <xf numFmtId="0" fontId="7" fillId="0" borderId="0" xfId="0" applyFont="1" applyAlignment="1">
      <alignment vertical="center"/>
    </xf>
    <xf numFmtId="0" fontId="7" fillId="0" borderId="0" xfId="0" applyFont="1"/>
    <xf numFmtId="0" fontId="10" fillId="7" borderId="1" xfId="0" applyFont="1" applyFill="1" applyBorder="1" applyAlignment="1">
      <alignment horizontal="center" vertical="center"/>
    </xf>
    <xf numFmtId="0" fontId="9" fillId="7" borderId="1" xfId="0" applyFont="1" applyFill="1" applyBorder="1" applyAlignment="1">
      <alignment horizontal="center" vertical="center"/>
    </xf>
    <xf numFmtId="0" fontId="10" fillId="3" borderId="1" xfId="0" applyFont="1" applyFill="1" applyBorder="1" applyAlignment="1">
      <alignment horizontal="center" vertical="center"/>
    </xf>
    <xf numFmtId="8" fontId="10" fillId="3" borderId="1" xfId="0" applyNumberFormat="1" applyFont="1" applyFill="1" applyBorder="1" applyAlignment="1">
      <alignment horizontal="center" vertical="center"/>
    </xf>
    <xf numFmtId="8" fontId="10" fillId="7" borderId="1" xfId="0" applyNumberFormat="1" applyFont="1" applyFill="1" applyBorder="1" applyAlignment="1">
      <alignment horizontal="center" vertical="center"/>
    </xf>
    <xf numFmtId="8" fontId="10" fillId="6" borderId="1" xfId="0" applyNumberFormat="1" applyFont="1" applyFill="1" applyBorder="1" applyAlignment="1">
      <alignment horizontal="center" vertical="center"/>
    </xf>
    <xf numFmtId="10" fontId="10" fillId="3" borderId="1" xfId="0" applyNumberFormat="1" applyFont="1" applyFill="1" applyBorder="1" applyAlignment="1">
      <alignment horizontal="center" vertical="center"/>
    </xf>
    <xf numFmtId="10" fontId="10" fillId="7" borderId="1" xfId="0" applyNumberFormat="1" applyFont="1" applyFill="1" applyBorder="1" applyAlignment="1">
      <alignment horizontal="center" vertical="center"/>
    </xf>
    <xf numFmtId="10" fontId="10" fillId="6" borderId="1" xfId="0" applyNumberFormat="1" applyFont="1" applyFill="1" applyBorder="1" applyAlignment="1">
      <alignment horizontal="center" vertical="center"/>
    </xf>
    <xf numFmtId="0" fontId="10" fillId="0" borderId="1" xfId="0" applyFont="1" applyBorder="1" applyAlignment="1">
      <alignment horizontal="center" vertical="center"/>
    </xf>
    <xf numFmtId="0" fontId="9" fillId="9" borderId="1" xfId="0" applyFont="1" applyFill="1" applyBorder="1" applyAlignment="1">
      <alignment horizontal="center" vertical="center"/>
    </xf>
    <xf numFmtId="0" fontId="10" fillId="9" borderId="1" xfId="0" applyFont="1" applyFill="1" applyBorder="1" applyAlignment="1">
      <alignment horizontal="center" vertical="center"/>
    </xf>
    <xf numFmtId="0" fontId="9" fillId="0" borderId="1" xfId="0" applyFont="1" applyBorder="1" applyAlignment="1">
      <alignment horizontal="center" vertical="center"/>
    </xf>
    <xf numFmtId="0" fontId="10" fillId="7" borderId="0" xfId="0" applyFont="1" applyFill="1" applyAlignment="1">
      <alignment horizontal="center" vertical="center" wrapText="1"/>
    </xf>
    <xf numFmtId="0" fontId="10" fillId="7" borderId="1" xfId="0" applyFont="1" applyFill="1" applyBorder="1" applyAlignment="1">
      <alignment horizontal="center" vertical="center" wrapText="1"/>
    </xf>
    <xf numFmtId="0" fontId="10" fillId="3" borderId="1" xfId="0" applyFont="1" applyFill="1" applyBorder="1" applyAlignment="1">
      <alignment horizontal="center" vertical="center" wrapText="1"/>
    </xf>
    <xf numFmtId="8" fontId="10" fillId="3" borderId="1" xfId="0" applyNumberFormat="1" applyFont="1" applyFill="1" applyBorder="1" applyAlignment="1">
      <alignment horizontal="center" vertical="center" wrapText="1"/>
    </xf>
    <xf numFmtId="0" fontId="10" fillId="7" borderId="15" xfId="0" applyFont="1" applyFill="1" applyBorder="1" applyAlignment="1">
      <alignment vertical="center" wrapText="1"/>
    </xf>
    <xf numFmtId="0" fontId="10" fillId="9" borderId="15" xfId="0" applyFont="1" applyFill="1" applyBorder="1" applyAlignment="1">
      <alignment horizontal="center" vertical="center" wrapText="1"/>
    </xf>
    <xf numFmtId="0" fontId="10" fillId="7" borderId="15" xfId="0" applyFont="1" applyFill="1" applyBorder="1" applyAlignment="1">
      <alignment horizontal="center" vertical="center" wrapText="1"/>
    </xf>
    <xf numFmtId="8" fontId="10" fillId="9" borderId="15" xfId="0" applyNumberFormat="1" applyFont="1" applyFill="1" applyBorder="1" applyAlignment="1">
      <alignment horizontal="center" vertical="center" wrapText="1"/>
    </xf>
    <xf numFmtId="8" fontId="10" fillId="7" borderId="15" xfId="0" applyNumberFormat="1" applyFont="1" applyFill="1" applyBorder="1" applyAlignment="1">
      <alignment horizontal="center" vertical="center" wrapText="1"/>
    </xf>
    <xf numFmtId="164" fontId="10" fillId="9" borderId="15" xfId="0" applyNumberFormat="1" applyFont="1" applyFill="1" applyBorder="1" applyAlignment="1">
      <alignment horizontal="center" vertical="center" wrapText="1"/>
    </xf>
    <xf numFmtId="0" fontId="10" fillId="7" borderId="19" xfId="0" applyFont="1" applyFill="1" applyBorder="1" applyAlignment="1">
      <alignment horizontal="center" vertical="center" wrapText="1"/>
    </xf>
    <xf numFmtId="2" fontId="10" fillId="6" borderId="1" xfId="0" applyNumberFormat="1" applyFont="1" applyFill="1" applyBorder="1" applyAlignment="1">
      <alignment horizontal="center" vertical="center"/>
    </xf>
    <xf numFmtId="1" fontId="10" fillId="9" borderId="15" xfId="0" applyNumberFormat="1" applyFont="1" applyFill="1" applyBorder="1" applyAlignment="1">
      <alignment horizontal="center" vertical="center" wrapText="1"/>
    </xf>
    <xf numFmtId="0" fontId="10" fillId="0" borderId="12" xfId="0" applyFont="1" applyBorder="1" applyAlignment="1">
      <alignment horizontal="center" vertical="center"/>
    </xf>
    <xf numFmtId="0" fontId="9" fillId="0" borderId="12" xfId="0" applyFont="1" applyBorder="1" applyAlignment="1">
      <alignment horizontal="center" vertical="center" wrapText="1"/>
    </xf>
    <xf numFmtId="0" fontId="9" fillId="0" borderId="1" xfId="0" applyFont="1" applyBorder="1" applyAlignment="1">
      <alignment horizontal="center" vertical="center" wrapText="1"/>
    </xf>
    <xf numFmtId="164" fontId="9" fillId="0" borderId="1" xfId="0" applyNumberFormat="1" applyFont="1" applyBorder="1" applyAlignment="1">
      <alignment horizontal="center" vertical="center" wrapText="1"/>
    </xf>
    <xf numFmtId="0" fontId="10" fillId="0" borderId="1" xfId="0" applyFont="1" applyBorder="1" applyAlignment="1">
      <alignment horizontal="center" vertical="center" wrapText="1"/>
    </xf>
    <xf numFmtId="164" fontId="10" fillId="0" borderId="1" xfId="0" applyNumberFormat="1" applyFont="1" applyBorder="1" applyAlignment="1">
      <alignment horizontal="center" vertical="center" wrapText="1"/>
    </xf>
    <xf numFmtId="0" fontId="10" fillId="0" borderId="12" xfId="0" applyFont="1" applyBorder="1" applyAlignment="1">
      <alignment horizontal="center" vertical="center" wrapText="1"/>
    </xf>
    <xf numFmtId="0" fontId="2" fillId="0" borderId="0" xfId="0" applyFont="1" applyAlignment="1">
      <alignment vertical="center"/>
    </xf>
    <xf numFmtId="0" fontId="10" fillId="14" borderId="15" xfId="0" applyFont="1" applyFill="1" applyBorder="1" applyAlignment="1">
      <alignment horizontal="center" vertical="center" wrapText="1"/>
    </xf>
    <xf numFmtId="0" fontId="10" fillId="0" borderId="15" xfId="0" applyFont="1" applyBorder="1" applyAlignment="1">
      <alignment horizontal="center" vertical="center" wrapText="1"/>
    </xf>
    <xf numFmtId="164" fontId="10" fillId="0" borderId="15" xfId="0" applyNumberFormat="1" applyFont="1" applyBorder="1" applyAlignment="1">
      <alignment horizontal="center" vertical="center" wrapText="1"/>
    </xf>
    <xf numFmtId="0" fontId="23" fillId="0" borderId="15" xfId="0" applyFont="1" applyBorder="1" applyAlignment="1">
      <alignment horizontal="center" vertical="center" wrapText="1"/>
    </xf>
    <xf numFmtId="164" fontId="10" fillId="0" borderId="1" xfId="0" applyNumberFormat="1" applyFont="1" applyBorder="1" applyAlignment="1">
      <alignment horizontal="center" vertical="center"/>
    </xf>
    <xf numFmtId="164" fontId="10" fillId="10" borderId="1" xfId="0" applyNumberFormat="1" applyFont="1" applyFill="1" applyBorder="1" applyAlignment="1">
      <alignment horizontal="center" vertical="center"/>
    </xf>
    <xf numFmtId="0" fontId="9" fillId="0" borderId="0" xfId="0" applyFont="1" applyAlignment="1">
      <alignment vertical="center"/>
    </xf>
    <xf numFmtId="0" fontId="9" fillId="0" borderId="0" xfId="0" applyFont="1"/>
    <xf numFmtId="0" fontId="9" fillId="0" borderId="12" xfId="0" applyFont="1" applyBorder="1" applyAlignment="1">
      <alignment horizontal="left" vertical="center"/>
    </xf>
    <xf numFmtId="0" fontId="9" fillId="0" borderId="12" xfId="0" applyFont="1" applyBorder="1" applyAlignment="1">
      <alignment horizontal="left" vertical="center" wrapText="1"/>
    </xf>
    <xf numFmtId="0" fontId="10" fillId="0" borderId="14" xfId="0" applyFont="1" applyBorder="1" applyAlignment="1">
      <alignment horizontal="center" vertical="center" wrapText="1"/>
    </xf>
    <xf numFmtId="0" fontId="9" fillId="0" borderId="1" xfId="0" applyFont="1" applyBorder="1" applyAlignment="1">
      <alignment horizontal="left" vertical="center" wrapText="1"/>
    </xf>
    <xf numFmtId="3" fontId="9" fillId="0" borderId="1" xfId="0" applyNumberFormat="1" applyFont="1" applyBorder="1" applyAlignment="1">
      <alignment horizontal="center" vertical="center" wrapText="1"/>
    </xf>
    <xf numFmtId="0" fontId="9" fillId="0" borderId="13" xfId="0" applyFont="1" applyBorder="1" applyAlignment="1">
      <alignment horizontal="center" vertical="center" wrapText="1"/>
    </xf>
    <xf numFmtId="0" fontId="9" fillId="0" borderId="14" xfId="0" applyFont="1" applyBorder="1" applyAlignment="1">
      <alignment horizontal="center" vertical="center" wrapText="1"/>
    </xf>
    <xf numFmtId="0" fontId="9" fillId="0" borderId="0" xfId="0" applyFont="1" applyAlignment="1">
      <alignment horizontal="center" vertical="center" wrapText="1"/>
    </xf>
    <xf numFmtId="164" fontId="10" fillId="10" borderId="15" xfId="0" applyNumberFormat="1" applyFont="1" applyFill="1" applyBorder="1" applyAlignment="1">
      <alignment horizontal="center" vertical="center" wrapText="1"/>
    </xf>
    <xf numFmtId="0" fontId="24" fillId="0" borderId="8" xfId="0" applyFont="1" applyBorder="1" applyAlignment="1">
      <alignment vertical="center"/>
    </xf>
    <xf numFmtId="0" fontId="24" fillId="0" borderId="0" xfId="0" applyFont="1" applyAlignment="1">
      <alignment vertical="center"/>
    </xf>
    <xf numFmtId="0" fontId="24" fillId="0" borderId="27" xfId="0" applyFont="1" applyBorder="1" applyAlignment="1">
      <alignment vertical="center"/>
    </xf>
    <xf numFmtId="0" fontId="10" fillId="0" borderId="14" xfId="0" applyFont="1" applyBorder="1" applyAlignment="1">
      <alignment horizontal="center" vertical="center"/>
    </xf>
    <xf numFmtId="0" fontId="24" fillId="0" borderId="1" xfId="0" applyFont="1" applyBorder="1" applyAlignment="1">
      <alignment horizontal="center" vertical="center" wrapText="1"/>
    </xf>
    <xf numFmtId="164" fontId="9" fillId="0" borderId="1" xfId="0" applyNumberFormat="1" applyFont="1" applyBorder="1" applyAlignment="1">
      <alignment horizontal="center" vertical="center"/>
    </xf>
    <xf numFmtId="0" fontId="24" fillId="0" borderId="8" xfId="0" applyFont="1" applyBorder="1" applyAlignment="1">
      <alignment horizontal="left" vertical="center"/>
    </xf>
    <xf numFmtId="0" fontId="24" fillId="0" borderId="0" xfId="0" applyFont="1" applyAlignment="1">
      <alignment horizontal="left" vertical="center"/>
    </xf>
    <xf numFmtId="1" fontId="24" fillId="0" borderId="1" xfId="0" applyNumberFormat="1" applyFont="1" applyBorder="1" applyAlignment="1">
      <alignment horizontal="center" vertical="center" wrapText="1"/>
    </xf>
    <xf numFmtId="0" fontId="9" fillId="0" borderId="8" xfId="0" applyFont="1" applyBorder="1" applyAlignment="1">
      <alignment horizontal="left" vertical="center"/>
    </xf>
    <xf numFmtId="0" fontId="9" fillId="0" borderId="13" xfId="0" applyFont="1" applyBorder="1" applyAlignment="1">
      <alignment horizontal="left" vertical="center" wrapText="1"/>
    </xf>
    <xf numFmtId="0" fontId="9" fillId="0" borderId="1" xfId="0" applyFont="1" applyBorder="1" applyAlignment="1">
      <alignment horizontal="left" vertical="center"/>
    </xf>
    <xf numFmtId="0" fontId="24" fillId="0" borderId="1" xfId="0" applyFont="1" applyBorder="1" applyAlignment="1">
      <alignment horizontal="left" vertical="center"/>
    </xf>
    <xf numFmtId="0" fontId="9" fillId="0" borderId="10" xfId="0" applyFont="1" applyBorder="1" applyAlignment="1">
      <alignment horizontal="center" vertical="center"/>
    </xf>
    <xf numFmtId="0" fontId="9" fillId="0" borderId="1" xfId="0" applyFont="1" applyBorder="1" applyAlignment="1">
      <alignment vertical="center" wrapText="1"/>
    </xf>
    <xf numFmtId="8" fontId="9" fillId="0" borderId="1" xfId="0" applyNumberFormat="1" applyFont="1" applyBorder="1" applyAlignment="1">
      <alignment horizontal="center" vertical="center"/>
    </xf>
    <xf numFmtId="0" fontId="9" fillId="0" borderId="1" xfId="0" applyFont="1" applyBorder="1" applyAlignment="1">
      <alignment vertical="center"/>
    </xf>
    <xf numFmtId="164" fontId="9" fillId="9" borderId="1" xfId="0" applyNumberFormat="1" applyFont="1" applyFill="1" applyBorder="1" applyAlignment="1">
      <alignment horizontal="center" vertical="center"/>
    </xf>
    <xf numFmtId="8" fontId="9" fillId="9" borderId="1" xfId="0" applyNumberFormat="1" applyFont="1" applyFill="1" applyBorder="1" applyAlignment="1">
      <alignment horizontal="center" vertical="center"/>
    </xf>
    <xf numFmtId="164" fontId="10" fillId="9" borderId="1" xfId="0" applyNumberFormat="1" applyFont="1" applyFill="1" applyBorder="1" applyAlignment="1">
      <alignment horizontal="center" vertical="center"/>
    </xf>
    <xf numFmtId="1" fontId="10" fillId="0" borderId="1" xfId="0" applyNumberFormat="1" applyFont="1" applyBorder="1" applyAlignment="1">
      <alignment horizontal="center" vertical="center"/>
    </xf>
    <xf numFmtId="8" fontId="9" fillId="0" borderId="1" xfId="0" applyNumberFormat="1" applyFont="1" applyBorder="1" applyAlignment="1">
      <alignment horizontal="center" vertical="center" wrapText="1"/>
    </xf>
    <xf numFmtId="0" fontId="2" fillId="0" borderId="0" xfId="0" applyFont="1"/>
    <xf numFmtId="0" fontId="23" fillId="13" borderId="15" xfId="0" applyFont="1" applyFill="1" applyBorder="1" applyAlignment="1">
      <alignment horizontal="center" vertical="center"/>
    </xf>
    <xf numFmtId="166" fontId="23" fillId="13" borderId="15" xfId="0" applyNumberFormat="1" applyFont="1" applyFill="1" applyBorder="1" applyAlignment="1">
      <alignment horizontal="center" vertical="center"/>
    </xf>
    <xf numFmtId="0" fontId="23" fillId="12" borderId="15" xfId="0" applyFont="1" applyFill="1" applyBorder="1" applyAlignment="1">
      <alignment horizontal="center" vertical="center"/>
    </xf>
    <xf numFmtId="166" fontId="23" fillId="12" borderId="15" xfId="0" applyNumberFormat="1" applyFont="1" applyFill="1" applyBorder="1" applyAlignment="1">
      <alignment horizontal="center" vertical="center"/>
    </xf>
    <xf numFmtId="2" fontId="23" fillId="13" borderId="15" xfId="0" applyNumberFormat="1" applyFont="1" applyFill="1" applyBorder="1" applyAlignment="1">
      <alignment horizontal="center" vertical="center"/>
    </xf>
    <xf numFmtId="2" fontId="23" fillId="12" borderId="15" xfId="0" applyNumberFormat="1" applyFont="1" applyFill="1" applyBorder="1" applyAlignment="1">
      <alignment horizontal="center" vertical="center"/>
    </xf>
    <xf numFmtId="10" fontId="23" fillId="13" borderId="15" xfId="0" applyNumberFormat="1" applyFont="1" applyFill="1" applyBorder="1" applyAlignment="1">
      <alignment horizontal="center" vertical="center"/>
    </xf>
    <xf numFmtId="10" fontId="23" fillId="12" borderId="15" xfId="0" applyNumberFormat="1" applyFont="1" applyFill="1" applyBorder="1" applyAlignment="1">
      <alignment horizontal="center" vertical="center"/>
    </xf>
    <xf numFmtId="164" fontId="23" fillId="12" borderId="15" xfId="0" applyNumberFormat="1" applyFont="1" applyFill="1" applyBorder="1" applyAlignment="1">
      <alignment horizontal="center" vertical="center"/>
    </xf>
    <xf numFmtId="0" fontId="24" fillId="13" borderId="15" xfId="0" applyFont="1" applyFill="1" applyBorder="1" applyAlignment="1">
      <alignment horizontal="center" vertical="center"/>
    </xf>
    <xf numFmtId="0" fontId="24" fillId="12" borderId="15" xfId="0" applyFont="1" applyFill="1" applyBorder="1" applyAlignment="1">
      <alignment horizontal="center" vertical="center"/>
    </xf>
    <xf numFmtId="166" fontId="23" fillId="15" borderId="15" xfId="0" applyNumberFormat="1" applyFont="1" applyFill="1" applyBorder="1" applyAlignment="1">
      <alignment horizontal="center" vertical="center"/>
    </xf>
    <xf numFmtId="0" fontId="24" fillId="15" borderId="15" xfId="0" applyFont="1" applyFill="1" applyBorder="1" applyAlignment="1">
      <alignment horizontal="center" vertical="center"/>
    </xf>
    <xf numFmtId="0" fontId="23" fillId="15" borderId="15" xfId="0" applyFont="1" applyFill="1" applyBorder="1" applyAlignment="1">
      <alignment horizontal="center" vertical="center"/>
    </xf>
    <xf numFmtId="164" fontId="23" fillId="13" borderId="15" xfId="0" applyNumberFormat="1" applyFont="1" applyFill="1" applyBorder="1" applyAlignment="1">
      <alignment horizontal="center" vertical="center"/>
    </xf>
    <xf numFmtId="0" fontId="24" fillId="13" borderId="15" xfId="0" applyFont="1" applyFill="1" applyBorder="1" applyAlignment="1">
      <alignment horizontal="center"/>
    </xf>
    <xf numFmtId="166" fontId="23" fillId="13" borderId="15" xfId="0" applyNumberFormat="1" applyFont="1" applyFill="1" applyBorder="1" applyAlignment="1">
      <alignment horizontal="center"/>
    </xf>
    <xf numFmtId="0" fontId="24" fillId="12" borderId="15" xfId="0" applyFont="1" applyFill="1" applyBorder="1" applyAlignment="1">
      <alignment horizontal="center"/>
    </xf>
    <xf numFmtId="0" fontId="24" fillId="15" borderId="15" xfId="0" applyFont="1" applyFill="1" applyBorder="1" applyAlignment="1">
      <alignment horizontal="center"/>
    </xf>
    <xf numFmtId="0" fontId="31" fillId="0" borderId="18" xfId="0" applyFont="1" applyBorder="1" applyAlignment="1">
      <alignment horizontal="center" vertical="center"/>
    </xf>
    <xf numFmtId="0" fontId="31" fillId="0" borderId="15" xfId="0" applyFont="1" applyBorder="1" applyAlignment="1">
      <alignment horizontal="center" vertical="center"/>
    </xf>
    <xf numFmtId="0" fontId="9" fillId="0" borderId="0" xfId="0" applyFont="1" applyAlignment="1">
      <alignment horizontal="center" vertical="center"/>
    </xf>
    <xf numFmtId="10" fontId="31" fillId="17" borderId="15" xfId="0" applyNumberFormat="1" applyFont="1" applyFill="1" applyBorder="1" applyAlignment="1">
      <alignment horizontal="center" vertical="center" wrapText="1"/>
    </xf>
    <xf numFmtId="0" fontId="31" fillId="0" borderId="0" xfId="0" applyFont="1" applyAlignment="1">
      <alignment horizontal="center" vertical="center" wrapText="1"/>
    </xf>
    <xf numFmtId="10" fontId="31" fillId="0" borderId="0" xfId="0" applyNumberFormat="1" applyFont="1" applyAlignment="1">
      <alignment horizontal="center" vertical="center" wrapText="1"/>
    </xf>
    <xf numFmtId="0" fontId="25" fillId="0" borderId="0" xfId="0" applyFont="1" applyAlignment="1">
      <alignment vertical="center"/>
    </xf>
    <xf numFmtId="0" fontId="15" fillId="0" borderId="0" xfId="3"/>
    <xf numFmtId="0" fontId="26" fillId="0" borderId="0" xfId="3" applyFont="1" applyAlignment="1">
      <alignment horizontal="left" vertical="center" wrapText="1"/>
    </xf>
    <xf numFmtId="0" fontId="15" fillId="0" borderId="0" xfId="3" applyAlignment="1">
      <alignment wrapText="1"/>
    </xf>
    <xf numFmtId="0" fontId="26" fillId="0" borderId="0" xfId="3" applyFont="1" applyAlignment="1">
      <alignment horizontal="left" vertical="center" indent="1"/>
    </xf>
    <xf numFmtId="0" fontId="26" fillId="0" borderId="0" xfId="3" applyFont="1" applyAlignment="1">
      <alignment horizontal="left" vertical="center" wrapText="1" indent="1"/>
    </xf>
    <xf numFmtId="0" fontId="26" fillId="0" borderId="0" xfId="3" applyFont="1" applyAlignment="1">
      <alignment horizontal="center" vertical="center"/>
    </xf>
    <xf numFmtId="0" fontId="15" fillId="0" borderId="0" xfId="3" applyAlignment="1">
      <alignment horizontal="left" vertical="center" wrapText="1" indent="1"/>
    </xf>
    <xf numFmtId="167" fontId="15" fillId="0" borderId="0" xfId="3" applyNumberFormat="1" applyAlignment="1">
      <alignment horizontal="left" vertical="center" wrapText="1" indent="1"/>
    </xf>
    <xf numFmtId="168" fontId="15" fillId="0" borderId="0" xfId="3" applyNumberFormat="1" applyAlignment="1">
      <alignment horizontal="left" vertical="center" wrapText="1" indent="1"/>
    </xf>
    <xf numFmtId="0" fontId="26" fillId="0" borderId="0" xfId="3" applyFont="1" applyAlignment="1">
      <alignment horizontal="left" indent="1"/>
    </xf>
    <xf numFmtId="10" fontId="31" fillId="10" borderId="15" xfId="0" applyNumberFormat="1" applyFont="1" applyFill="1" applyBorder="1" applyAlignment="1">
      <alignment horizontal="center" vertical="center" wrapText="1"/>
    </xf>
    <xf numFmtId="164" fontId="9" fillId="10" borderId="1" xfId="0" applyNumberFormat="1" applyFont="1" applyFill="1" applyBorder="1" applyAlignment="1">
      <alignment horizontal="center" vertical="center" wrapText="1"/>
    </xf>
    <xf numFmtId="165" fontId="24" fillId="10" borderId="15" xfId="0" applyNumberFormat="1" applyFont="1" applyFill="1" applyBorder="1" applyAlignment="1">
      <alignment horizontal="center" vertical="center" wrapText="1"/>
    </xf>
    <xf numFmtId="165" fontId="24" fillId="10" borderId="15" xfId="0" applyNumberFormat="1" applyFont="1" applyFill="1" applyBorder="1" applyAlignment="1">
      <alignment horizontal="center" vertical="center"/>
    </xf>
    <xf numFmtId="164" fontId="9" fillId="10" borderId="1" xfId="0" applyNumberFormat="1" applyFont="1" applyFill="1" applyBorder="1" applyAlignment="1">
      <alignment horizontal="center" vertical="center"/>
    </xf>
    <xf numFmtId="8" fontId="10" fillId="0" borderId="1" xfId="0" applyNumberFormat="1" applyFont="1" applyBorder="1" applyAlignment="1">
      <alignment horizontal="center" vertical="center" wrapText="1"/>
    </xf>
    <xf numFmtId="164" fontId="10" fillId="0" borderId="15" xfId="0" applyNumberFormat="1" applyFont="1" applyBorder="1" applyAlignment="1">
      <alignment horizontal="center" vertical="center"/>
    </xf>
    <xf numFmtId="8" fontId="9" fillId="10" borderId="1" xfId="0" applyNumberFormat="1" applyFont="1" applyFill="1" applyBorder="1" applyAlignment="1">
      <alignment horizontal="center" vertical="center" wrapText="1"/>
    </xf>
    <xf numFmtId="166" fontId="23" fillId="19" borderId="15" xfId="0" applyNumberFormat="1" applyFont="1" applyFill="1" applyBorder="1" applyAlignment="1">
      <alignment horizontal="center" vertical="center"/>
    </xf>
    <xf numFmtId="166" fontId="23" fillId="20" borderId="15" xfId="0" applyNumberFormat="1" applyFont="1" applyFill="1" applyBorder="1" applyAlignment="1">
      <alignment horizontal="center" vertical="center"/>
    </xf>
    <xf numFmtId="10" fontId="23" fillId="20" borderId="15" xfId="0" applyNumberFormat="1" applyFont="1" applyFill="1" applyBorder="1" applyAlignment="1">
      <alignment horizontal="center" vertical="center"/>
    </xf>
    <xf numFmtId="10" fontId="23" fillId="19" borderId="15" xfId="0" applyNumberFormat="1" applyFont="1" applyFill="1" applyBorder="1" applyAlignment="1">
      <alignment horizontal="center" vertical="center"/>
    </xf>
    <xf numFmtId="10" fontId="10" fillId="10" borderId="1" xfId="0" applyNumberFormat="1" applyFont="1" applyFill="1" applyBorder="1" applyAlignment="1">
      <alignment horizontal="center" vertical="center"/>
    </xf>
    <xf numFmtId="0" fontId="26" fillId="0" borderId="0" xfId="3" applyFont="1" applyAlignment="1">
      <alignment horizontal="left" vertical="center" wrapText="1" indent="1"/>
    </xf>
    <xf numFmtId="0" fontId="32" fillId="5" borderId="0" xfId="3" applyFont="1" applyFill="1" applyAlignment="1">
      <alignment horizontal="center" vertical="center"/>
    </xf>
    <xf numFmtId="0" fontId="32" fillId="0" borderId="0" xfId="3" applyFont="1" applyAlignment="1">
      <alignment horizontal="center" vertical="center"/>
    </xf>
    <xf numFmtId="0" fontId="26" fillId="0" borderId="0" xfId="3" applyFont="1" applyAlignment="1">
      <alignment horizontal="left" vertical="center" wrapText="1"/>
    </xf>
    <xf numFmtId="0" fontId="33" fillId="0" borderId="0" xfId="3" applyFont="1" applyAlignment="1">
      <alignment horizontal="left"/>
    </xf>
    <xf numFmtId="0" fontId="10" fillId="0" borderId="16" xfId="0" applyFont="1" applyBorder="1" applyAlignment="1">
      <alignment horizontal="left" vertical="center" wrapText="1"/>
    </xf>
    <xf numFmtId="0" fontId="10" fillId="0" borderId="17" xfId="0" applyFont="1" applyBorder="1" applyAlignment="1">
      <alignment horizontal="left" vertical="center" wrapText="1"/>
    </xf>
    <xf numFmtId="0" fontId="10" fillId="0" borderId="18" xfId="0" applyFont="1" applyBorder="1" applyAlignment="1">
      <alignment horizontal="left" vertical="center" wrapText="1"/>
    </xf>
    <xf numFmtId="0" fontId="9" fillId="0" borderId="16" xfId="0" applyFont="1" applyBorder="1" applyAlignment="1">
      <alignment horizontal="center" vertical="center" wrapText="1"/>
    </xf>
    <xf numFmtId="0" fontId="9" fillId="0" borderId="17" xfId="0" applyFont="1" applyBorder="1" applyAlignment="1">
      <alignment horizontal="center" vertical="center" wrapText="1"/>
    </xf>
    <xf numFmtId="0" fontId="9" fillId="0" borderId="18" xfId="0" applyFont="1" applyBorder="1" applyAlignment="1">
      <alignment horizontal="center" vertical="center" wrapText="1"/>
    </xf>
    <xf numFmtId="0" fontId="10" fillId="6" borderId="16" xfId="0" applyFont="1" applyFill="1" applyBorder="1" applyAlignment="1">
      <alignment horizontal="center" vertical="center" wrapText="1"/>
    </xf>
    <xf numFmtId="0" fontId="10" fillId="6" borderId="17" xfId="0" applyFont="1" applyFill="1" applyBorder="1" applyAlignment="1">
      <alignment horizontal="center" vertical="center" wrapText="1"/>
    </xf>
    <xf numFmtId="0" fontId="10" fillId="6" borderId="18" xfId="0" applyFont="1" applyFill="1" applyBorder="1" applyAlignment="1">
      <alignment horizontal="center" vertical="center" wrapText="1"/>
    </xf>
    <xf numFmtId="0" fontId="10" fillId="0" borderId="16" xfId="0" applyFont="1" applyBorder="1" applyAlignment="1">
      <alignment horizontal="center" vertical="center" wrapText="1"/>
    </xf>
    <xf numFmtId="0" fontId="10" fillId="0" borderId="17" xfId="0" applyFont="1" applyBorder="1" applyAlignment="1">
      <alignment horizontal="center" vertical="center" wrapText="1"/>
    </xf>
    <xf numFmtId="0" fontId="10" fillId="0" borderId="18" xfId="0" applyFont="1" applyBorder="1" applyAlignment="1">
      <alignment horizontal="center" vertical="center" wrapText="1"/>
    </xf>
    <xf numFmtId="0" fontId="10" fillId="7" borderId="16" xfId="0" applyFont="1" applyFill="1" applyBorder="1" applyAlignment="1">
      <alignment horizontal="center" vertical="center" wrapText="1"/>
    </xf>
    <xf numFmtId="0" fontId="10" fillId="7" borderId="18" xfId="0" applyFont="1" applyFill="1" applyBorder="1" applyAlignment="1">
      <alignment horizontal="center" vertical="center" wrapText="1"/>
    </xf>
    <xf numFmtId="0" fontId="10" fillId="7" borderId="17" xfId="0" applyFont="1" applyFill="1" applyBorder="1" applyAlignment="1">
      <alignment horizontal="center" vertical="center" wrapText="1"/>
    </xf>
    <xf numFmtId="0" fontId="10" fillId="9" borderId="16" xfId="0" applyFont="1" applyFill="1" applyBorder="1" applyAlignment="1">
      <alignment horizontal="center" vertical="center" wrapText="1"/>
    </xf>
    <xf numFmtId="0" fontId="10" fillId="9" borderId="18" xfId="0" applyFont="1" applyFill="1" applyBorder="1" applyAlignment="1">
      <alignment horizontal="center" vertical="center" wrapText="1"/>
    </xf>
    <xf numFmtId="0" fontId="13" fillId="9" borderId="16" xfId="0" applyFont="1" applyFill="1" applyBorder="1" applyAlignment="1">
      <alignment horizontal="center" vertical="center" wrapText="1"/>
    </xf>
    <xf numFmtId="0" fontId="13" fillId="9" borderId="18" xfId="0" applyFont="1" applyFill="1" applyBorder="1" applyAlignment="1">
      <alignment horizontal="center" vertical="center" wrapText="1"/>
    </xf>
    <xf numFmtId="0" fontId="10" fillId="9" borderId="17" xfId="0" applyFont="1" applyFill="1" applyBorder="1" applyAlignment="1">
      <alignment horizontal="center" vertical="center" wrapText="1"/>
    </xf>
    <xf numFmtId="0" fontId="9" fillId="6" borderId="17" xfId="0" applyFont="1" applyFill="1" applyBorder="1" applyAlignment="1">
      <alignment horizontal="center" vertical="center" wrapText="1"/>
    </xf>
    <xf numFmtId="0" fontId="9" fillId="6" borderId="18" xfId="0" applyFont="1" applyFill="1" applyBorder="1" applyAlignment="1">
      <alignment horizontal="center" vertical="center" wrapText="1"/>
    </xf>
    <xf numFmtId="0" fontId="10" fillId="9" borderId="16" xfId="0" applyFont="1" applyFill="1" applyBorder="1" applyAlignment="1">
      <alignment horizontal="left" vertical="center" wrapText="1"/>
    </xf>
    <xf numFmtId="0" fontId="10" fillId="9" borderId="17" xfId="0" applyFont="1" applyFill="1" applyBorder="1" applyAlignment="1">
      <alignment horizontal="left" vertical="center" wrapText="1"/>
    </xf>
    <xf numFmtId="0" fontId="10" fillId="9" borderId="18" xfId="0" applyFont="1" applyFill="1" applyBorder="1" applyAlignment="1">
      <alignment horizontal="left" vertical="center" wrapText="1"/>
    </xf>
    <xf numFmtId="0" fontId="10" fillId="7" borderId="16" xfId="0" applyFont="1" applyFill="1" applyBorder="1" applyAlignment="1">
      <alignment horizontal="left" vertical="center" wrapText="1"/>
    </xf>
    <xf numFmtId="0" fontId="10" fillId="7" borderId="17" xfId="0" applyFont="1" applyFill="1" applyBorder="1" applyAlignment="1">
      <alignment horizontal="left" vertical="center" wrapText="1"/>
    </xf>
    <xf numFmtId="0" fontId="10" fillId="7" borderId="18" xfId="0" applyFont="1" applyFill="1" applyBorder="1" applyAlignment="1">
      <alignment horizontal="left" vertical="center" wrapText="1"/>
    </xf>
    <xf numFmtId="0" fontId="9" fillId="9" borderId="17" xfId="0" applyFont="1" applyFill="1" applyBorder="1" applyAlignment="1">
      <alignment horizontal="center" vertical="center" wrapText="1"/>
    </xf>
    <xf numFmtId="0" fontId="9" fillId="9" borderId="18" xfId="0" applyFont="1" applyFill="1" applyBorder="1" applyAlignment="1">
      <alignment horizontal="center" vertical="center" wrapText="1"/>
    </xf>
    <xf numFmtId="0" fontId="10" fillId="7" borderId="20" xfId="0" applyFont="1" applyFill="1" applyBorder="1" applyAlignment="1">
      <alignment horizontal="center" vertical="center" wrapText="1"/>
    </xf>
    <xf numFmtId="0" fontId="10" fillId="7" borderId="21" xfId="0" applyFont="1" applyFill="1" applyBorder="1" applyAlignment="1">
      <alignment horizontal="center" vertical="center" wrapText="1"/>
    </xf>
    <xf numFmtId="0" fontId="10" fillId="7" borderId="22" xfId="0" applyFont="1" applyFill="1" applyBorder="1" applyAlignment="1">
      <alignment horizontal="center" vertical="center" wrapText="1"/>
    </xf>
    <xf numFmtId="0" fontId="9" fillId="0" borderId="23" xfId="0" applyFont="1" applyBorder="1" applyAlignment="1">
      <alignment horizontal="center" vertical="center" wrapText="1"/>
    </xf>
    <xf numFmtId="0" fontId="9" fillId="0" borderId="24" xfId="0" applyFont="1" applyBorder="1" applyAlignment="1">
      <alignment horizontal="center" vertical="center" wrapText="1"/>
    </xf>
    <xf numFmtId="0" fontId="9" fillId="0" borderId="25" xfId="0" applyFont="1" applyBorder="1" applyAlignment="1">
      <alignment horizontal="center" vertical="center" wrapText="1"/>
    </xf>
    <xf numFmtId="0" fontId="9" fillId="7" borderId="16" xfId="0" applyFont="1" applyFill="1" applyBorder="1" applyAlignment="1">
      <alignment horizontal="center" vertical="center" wrapText="1"/>
    </xf>
    <xf numFmtId="0" fontId="9" fillId="7" borderId="17" xfId="0" applyFont="1" applyFill="1" applyBorder="1" applyAlignment="1">
      <alignment horizontal="center" vertical="center" wrapText="1"/>
    </xf>
    <xf numFmtId="0" fontId="9" fillId="7" borderId="18" xfId="0" applyFont="1" applyFill="1" applyBorder="1" applyAlignment="1">
      <alignment horizontal="center" vertical="center" wrapText="1"/>
    </xf>
    <xf numFmtId="164" fontId="10" fillId="9" borderId="16" xfId="0" applyNumberFormat="1" applyFont="1" applyFill="1" applyBorder="1" applyAlignment="1">
      <alignment horizontal="center" vertical="center" wrapText="1"/>
    </xf>
    <xf numFmtId="0" fontId="10" fillId="4" borderId="10" xfId="0" applyFont="1" applyFill="1" applyBorder="1" applyAlignment="1">
      <alignment horizontal="center" vertical="center"/>
    </xf>
    <xf numFmtId="0" fontId="10" fillId="4" borderId="11" xfId="0" applyFont="1" applyFill="1" applyBorder="1" applyAlignment="1">
      <alignment horizontal="center" vertical="center"/>
    </xf>
    <xf numFmtId="0" fontId="10" fillId="4" borderId="12" xfId="0" applyFont="1" applyFill="1" applyBorder="1" applyAlignment="1">
      <alignment horizontal="center" vertical="center"/>
    </xf>
    <xf numFmtId="0" fontId="31" fillId="0" borderId="16" xfId="0" applyFont="1" applyBorder="1" applyAlignment="1">
      <alignment horizontal="center" vertical="center" wrapText="1"/>
    </xf>
    <xf numFmtId="0" fontId="31" fillId="0" borderId="18" xfId="0" applyFont="1" applyBorder="1" applyAlignment="1">
      <alignment horizontal="center" vertical="center" wrapText="1"/>
    </xf>
    <xf numFmtId="0" fontId="31" fillId="16" borderId="16" xfId="0" applyFont="1" applyFill="1" applyBorder="1" applyAlignment="1">
      <alignment horizontal="center" vertical="center" wrapText="1"/>
    </xf>
    <xf numFmtId="0" fontId="31" fillId="16" borderId="17" xfId="0" applyFont="1" applyFill="1" applyBorder="1" applyAlignment="1">
      <alignment horizontal="center" vertical="center" wrapText="1"/>
    </xf>
    <xf numFmtId="0" fontId="31" fillId="16" borderId="18" xfId="0" applyFont="1" applyFill="1" applyBorder="1" applyAlignment="1">
      <alignment horizontal="center" vertical="center" wrapText="1"/>
    </xf>
    <xf numFmtId="0" fontId="9" fillId="0" borderId="10" xfId="0" applyFont="1" applyBorder="1" applyAlignment="1">
      <alignment horizontal="center" vertical="center" wrapText="1"/>
    </xf>
    <xf numFmtId="0" fontId="9" fillId="0" borderId="12" xfId="0" applyFont="1" applyBorder="1" applyAlignment="1">
      <alignment horizontal="center" vertical="center" wrapText="1"/>
    </xf>
    <xf numFmtId="0" fontId="10" fillId="5" borderId="10" xfId="0" applyFont="1" applyFill="1" applyBorder="1" applyAlignment="1">
      <alignment horizontal="center" vertical="center" wrapText="1"/>
    </xf>
    <xf numFmtId="0" fontId="10" fillId="5" borderId="11" xfId="0" applyFont="1" applyFill="1" applyBorder="1" applyAlignment="1">
      <alignment horizontal="center" vertical="center" wrapText="1"/>
    </xf>
    <xf numFmtId="0" fontId="10" fillId="5" borderId="12" xfId="0" applyFont="1" applyFill="1" applyBorder="1" applyAlignment="1">
      <alignment horizontal="center" vertical="center" wrapText="1"/>
    </xf>
    <xf numFmtId="0" fontId="9" fillId="0" borderId="11" xfId="0" applyFont="1" applyBorder="1" applyAlignment="1">
      <alignment horizontal="center" vertical="center" wrapText="1"/>
    </xf>
    <xf numFmtId="0" fontId="10" fillId="11" borderId="16" xfId="0" applyFont="1" applyFill="1" applyBorder="1" applyAlignment="1">
      <alignment horizontal="center" vertical="center" wrapText="1"/>
    </xf>
    <xf numFmtId="0" fontId="10" fillId="11" borderId="18" xfId="0" applyFont="1" applyFill="1" applyBorder="1" applyAlignment="1">
      <alignment horizontal="center" vertical="center" wrapText="1"/>
    </xf>
    <xf numFmtId="164" fontId="10" fillId="0" borderId="16" xfId="0" applyNumberFormat="1" applyFont="1" applyBorder="1" applyAlignment="1">
      <alignment horizontal="center" vertical="center" wrapText="1"/>
    </xf>
    <xf numFmtId="164" fontId="10" fillId="0" borderId="18" xfId="0" applyNumberFormat="1" applyFont="1" applyBorder="1" applyAlignment="1">
      <alignment horizontal="center" vertical="center" wrapText="1"/>
    </xf>
    <xf numFmtId="1" fontId="10" fillId="0" borderId="13" xfId="0" applyNumberFormat="1" applyFont="1" applyBorder="1" applyAlignment="1">
      <alignment horizontal="center" vertical="center"/>
    </xf>
    <xf numFmtId="1" fontId="10" fillId="0" borderId="26" xfId="0" applyNumberFormat="1" applyFont="1" applyBorder="1" applyAlignment="1">
      <alignment horizontal="center" vertical="center"/>
    </xf>
    <xf numFmtId="1" fontId="10" fillId="0" borderId="14" xfId="0" applyNumberFormat="1" applyFont="1" applyBorder="1" applyAlignment="1">
      <alignment horizontal="center" vertical="center"/>
    </xf>
    <xf numFmtId="0" fontId="9" fillId="9" borderId="10" xfId="0" applyFont="1" applyFill="1" applyBorder="1" applyAlignment="1">
      <alignment horizontal="center" vertical="center"/>
    </xf>
    <xf numFmtId="0" fontId="9" fillId="9" borderId="11" xfId="0" applyFont="1" applyFill="1" applyBorder="1" applyAlignment="1">
      <alignment horizontal="center" vertical="center"/>
    </xf>
    <xf numFmtId="0" fontId="9" fillId="9" borderId="12" xfId="0" applyFont="1" applyFill="1" applyBorder="1" applyAlignment="1">
      <alignment horizontal="center" vertical="center"/>
    </xf>
    <xf numFmtId="0" fontId="9" fillId="0" borderId="10" xfId="0" applyFont="1" applyBorder="1" applyAlignment="1">
      <alignment horizontal="center" vertical="center"/>
    </xf>
    <xf numFmtId="0" fontId="9" fillId="0" borderId="11" xfId="0" applyFont="1" applyBorder="1" applyAlignment="1">
      <alignment horizontal="center" vertical="center"/>
    </xf>
    <xf numFmtId="0" fontId="9" fillId="0" borderId="12" xfId="0" applyFont="1" applyBorder="1" applyAlignment="1">
      <alignment horizontal="center" vertical="center"/>
    </xf>
    <xf numFmtId="0" fontId="10" fillId="4" borderId="10" xfId="0" applyFont="1" applyFill="1" applyBorder="1" applyAlignment="1">
      <alignment horizontal="center" vertical="center" wrapText="1"/>
    </xf>
    <xf numFmtId="0" fontId="10" fillId="4" borderId="11" xfId="0" applyFont="1" applyFill="1" applyBorder="1" applyAlignment="1">
      <alignment horizontal="center" vertical="center" wrapText="1"/>
    </xf>
    <xf numFmtId="0" fontId="10" fillId="4" borderId="12" xfId="0" applyFont="1" applyFill="1" applyBorder="1" applyAlignment="1">
      <alignment horizontal="center" vertical="center" wrapText="1"/>
    </xf>
    <xf numFmtId="0" fontId="10" fillId="0" borderId="16" xfId="0" applyFont="1" applyBorder="1" applyAlignment="1">
      <alignment horizontal="center" vertical="center"/>
    </xf>
    <xf numFmtId="0" fontId="10" fillId="0" borderId="18" xfId="0" applyFont="1" applyBorder="1" applyAlignment="1">
      <alignment horizontal="center" vertical="center"/>
    </xf>
    <xf numFmtId="0" fontId="9" fillId="8" borderId="2" xfId="0" applyFont="1" applyFill="1" applyBorder="1" applyAlignment="1">
      <alignment vertical="center"/>
    </xf>
    <xf numFmtId="0" fontId="9" fillId="8" borderId="3" xfId="0" applyFont="1" applyFill="1" applyBorder="1" applyAlignment="1">
      <alignment vertical="center"/>
    </xf>
    <xf numFmtId="0" fontId="9" fillId="8" borderId="4" xfId="0" applyFont="1" applyFill="1" applyBorder="1" applyAlignment="1">
      <alignment vertical="center"/>
    </xf>
    <xf numFmtId="0" fontId="9" fillId="8" borderId="5" xfId="0" applyFont="1" applyFill="1" applyBorder="1" applyAlignment="1">
      <alignment vertical="center"/>
    </xf>
    <xf numFmtId="0" fontId="9" fillId="8" borderId="0" xfId="0" applyFont="1" applyFill="1" applyAlignment="1">
      <alignment vertical="center"/>
    </xf>
    <xf numFmtId="0" fontId="9" fillId="8" borderId="6" xfId="0" applyFont="1" applyFill="1" applyBorder="1" applyAlignment="1">
      <alignment vertical="center"/>
    </xf>
    <xf numFmtId="0" fontId="9" fillId="0" borderId="10" xfId="0" applyFont="1" applyBorder="1" applyAlignment="1">
      <alignment vertical="center"/>
    </xf>
    <xf numFmtId="0" fontId="9" fillId="0" borderId="11" xfId="0" applyFont="1" applyBorder="1" applyAlignment="1">
      <alignment vertical="center"/>
    </xf>
    <xf numFmtId="0" fontId="9" fillId="0" borderId="12" xfId="0" applyFont="1" applyBorder="1" applyAlignment="1">
      <alignment vertical="center"/>
    </xf>
    <xf numFmtId="0" fontId="10" fillId="6" borderId="10" xfId="0" applyFont="1" applyFill="1" applyBorder="1" applyAlignment="1">
      <alignment horizontal="center" vertical="center"/>
    </xf>
    <xf numFmtId="0" fontId="10" fillId="6" borderId="11" xfId="0" applyFont="1" applyFill="1" applyBorder="1" applyAlignment="1">
      <alignment horizontal="center" vertical="center"/>
    </xf>
    <xf numFmtId="0" fontId="10" fillId="6" borderId="12" xfId="0" applyFont="1" applyFill="1" applyBorder="1" applyAlignment="1">
      <alignment horizontal="center" vertical="center"/>
    </xf>
    <xf numFmtId="0" fontId="10" fillId="7" borderId="10" xfId="0" applyFont="1" applyFill="1" applyBorder="1" applyAlignment="1">
      <alignment horizontal="center" vertical="center"/>
    </xf>
    <xf numFmtId="0" fontId="10" fillId="7" borderId="12" xfId="0" applyFont="1" applyFill="1" applyBorder="1" applyAlignment="1">
      <alignment horizontal="center" vertical="center"/>
    </xf>
    <xf numFmtId="0" fontId="11" fillId="7" borderId="10" xfId="1" applyFont="1" applyFill="1" applyBorder="1" applyAlignment="1">
      <alignment horizontal="center" vertical="center"/>
    </xf>
    <xf numFmtId="0" fontId="11" fillId="7" borderId="11" xfId="1" applyFont="1" applyFill="1" applyBorder="1" applyAlignment="1">
      <alignment horizontal="center" vertical="center"/>
    </xf>
    <xf numFmtId="0" fontId="11" fillId="7" borderId="12" xfId="1" applyFont="1" applyFill="1" applyBorder="1" applyAlignment="1">
      <alignment horizontal="center" vertical="center"/>
    </xf>
    <xf numFmtId="0" fontId="10" fillId="9" borderId="10" xfId="0" applyFont="1" applyFill="1" applyBorder="1" applyAlignment="1">
      <alignment horizontal="center" vertical="center"/>
    </xf>
    <xf numFmtId="0" fontId="10" fillId="9" borderId="12" xfId="0" applyFont="1" applyFill="1" applyBorder="1" applyAlignment="1">
      <alignment horizontal="center" vertical="center"/>
    </xf>
    <xf numFmtId="0" fontId="10" fillId="10" borderId="10" xfId="0" applyFont="1" applyFill="1" applyBorder="1" applyAlignment="1">
      <alignment horizontal="center" vertical="center"/>
    </xf>
    <xf numFmtId="0" fontId="10" fillId="10" borderId="11" xfId="0" applyFont="1" applyFill="1" applyBorder="1" applyAlignment="1">
      <alignment horizontal="center" vertical="center"/>
    </xf>
    <xf numFmtId="0" fontId="10" fillId="10" borderId="12" xfId="0" applyFont="1" applyFill="1" applyBorder="1" applyAlignment="1">
      <alignment horizontal="center" vertical="center"/>
    </xf>
    <xf numFmtId="0" fontId="10" fillId="7" borderId="2" xfId="0" applyFont="1" applyFill="1" applyBorder="1" applyAlignment="1">
      <alignment horizontal="center" vertical="center" wrapText="1"/>
    </xf>
    <xf numFmtId="0" fontId="10" fillId="7" borderId="4" xfId="0" applyFont="1" applyFill="1" applyBorder="1" applyAlignment="1">
      <alignment horizontal="center" vertical="center" wrapText="1"/>
    </xf>
    <xf numFmtId="0" fontId="10" fillId="7" borderId="5" xfId="0" applyFont="1" applyFill="1" applyBorder="1" applyAlignment="1">
      <alignment horizontal="center" vertical="center" wrapText="1"/>
    </xf>
    <xf numFmtId="0" fontId="10" fillId="7" borderId="6" xfId="0" applyFont="1" applyFill="1" applyBorder="1" applyAlignment="1">
      <alignment horizontal="center" vertical="center" wrapText="1"/>
    </xf>
    <xf numFmtId="0" fontId="10" fillId="7" borderId="7" xfId="0" applyFont="1" applyFill="1" applyBorder="1" applyAlignment="1">
      <alignment horizontal="center" vertical="center" wrapText="1"/>
    </xf>
    <xf numFmtId="0" fontId="10" fillId="7" borderId="9" xfId="0" applyFont="1" applyFill="1" applyBorder="1" applyAlignment="1">
      <alignment horizontal="center" vertical="center" wrapText="1"/>
    </xf>
    <xf numFmtId="0" fontId="23" fillId="19" borderId="15" xfId="0" applyFont="1" applyFill="1" applyBorder="1" applyAlignment="1">
      <alignment horizontal="left" vertical="center"/>
    </xf>
    <xf numFmtId="0" fontId="10" fillId="9" borderId="11" xfId="0" applyFont="1" applyFill="1" applyBorder="1" applyAlignment="1">
      <alignment horizontal="center" vertical="center"/>
    </xf>
    <xf numFmtId="0" fontId="10" fillId="7" borderId="10" xfId="0" applyFont="1" applyFill="1" applyBorder="1" applyAlignment="1">
      <alignment horizontal="center" vertical="center" wrapText="1"/>
    </xf>
    <xf numFmtId="0" fontId="10" fillId="7" borderId="12" xfId="0" applyFont="1" applyFill="1" applyBorder="1" applyAlignment="1">
      <alignment horizontal="center" vertical="center" wrapText="1"/>
    </xf>
    <xf numFmtId="0" fontId="10" fillId="7" borderId="11" xfId="0" applyFont="1" applyFill="1" applyBorder="1" applyAlignment="1">
      <alignment horizontal="center" vertical="center"/>
    </xf>
    <xf numFmtId="0" fontId="11" fillId="9" borderId="10" xfId="1" applyFont="1" applyFill="1" applyBorder="1" applyAlignment="1">
      <alignment horizontal="center" vertical="center"/>
    </xf>
    <xf numFmtId="0" fontId="11" fillId="9" borderId="11" xfId="1" applyFont="1" applyFill="1" applyBorder="1" applyAlignment="1">
      <alignment horizontal="center" vertical="center"/>
    </xf>
    <xf numFmtId="0" fontId="11" fillId="9" borderId="12" xfId="1" applyFont="1" applyFill="1" applyBorder="1" applyAlignment="1">
      <alignment horizontal="center" vertical="center"/>
    </xf>
    <xf numFmtId="0" fontId="10" fillId="9" borderId="10" xfId="0" applyFont="1" applyFill="1" applyBorder="1" applyAlignment="1">
      <alignment horizontal="center" vertical="center" wrapText="1"/>
    </xf>
    <xf numFmtId="0" fontId="10" fillId="9" borderId="12" xfId="0" applyFont="1" applyFill="1" applyBorder="1" applyAlignment="1">
      <alignment horizontal="center" vertical="center" wrapText="1"/>
    </xf>
    <xf numFmtId="0" fontId="10" fillId="2" borderId="2" xfId="0" applyFont="1" applyFill="1" applyBorder="1" applyAlignment="1">
      <alignment horizontal="center" vertical="center"/>
    </xf>
    <xf numFmtId="0" fontId="10" fillId="2" borderId="3" xfId="0" applyFont="1" applyFill="1" applyBorder="1" applyAlignment="1">
      <alignment horizontal="center" vertical="center"/>
    </xf>
    <xf numFmtId="0" fontId="10" fillId="2" borderId="4" xfId="0" applyFont="1" applyFill="1" applyBorder="1" applyAlignment="1">
      <alignment horizontal="center" vertical="center"/>
    </xf>
    <xf numFmtId="0" fontId="9" fillId="7" borderId="10" xfId="0" applyFont="1" applyFill="1" applyBorder="1" applyAlignment="1">
      <alignment horizontal="center" vertical="center"/>
    </xf>
    <xf numFmtId="0" fontId="9" fillId="7" borderId="11" xfId="0" applyFont="1" applyFill="1" applyBorder="1" applyAlignment="1">
      <alignment horizontal="center" vertical="center"/>
    </xf>
    <xf numFmtId="0" fontId="9" fillId="7" borderId="12" xfId="0" applyFont="1" applyFill="1" applyBorder="1" applyAlignment="1">
      <alignment horizontal="center" vertical="center"/>
    </xf>
    <xf numFmtId="0" fontId="24" fillId="13" borderId="15" xfId="0" applyFont="1" applyFill="1" applyBorder="1" applyAlignment="1">
      <alignment horizontal="left" vertical="center"/>
    </xf>
    <xf numFmtId="0" fontId="24" fillId="12" borderId="15" xfId="0" applyFont="1" applyFill="1" applyBorder="1" applyAlignment="1">
      <alignment horizontal="left" vertical="center"/>
    </xf>
    <xf numFmtId="0" fontId="24" fillId="15" borderId="15" xfId="0" applyFont="1" applyFill="1" applyBorder="1" applyAlignment="1">
      <alignment horizontal="left" vertical="center"/>
    </xf>
    <xf numFmtId="8" fontId="10" fillId="10" borderId="10" xfId="0" applyNumberFormat="1" applyFont="1" applyFill="1" applyBorder="1" applyAlignment="1">
      <alignment horizontal="center" vertical="center"/>
    </xf>
    <xf numFmtId="0" fontId="10" fillId="0" borderId="10" xfId="0" applyFont="1" applyBorder="1" applyAlignment="1">
      <alignment horizontal="center" vertical="center"/>
    </xf>
    <xf numFmtId="0" fontId="10" fillId="0" borderId="11" xfId="0" applyFont="1" applyBorder="1" applyAlignment="1">
      <alignment horizontal="center" vertical="center"/>
    </xf>
    <xf numFmtId="0" fontId="10" fillId="0" borderId="12" xfId="0" applyFont="1" applyBorder="1" applyAlignment="1">
      <alignment horizontal="center" vertical="center"/>
    </xf>
    <xf numFmtId="0" fontId="9" fillId="7" borderId="10" xfId="0" applyFont="1" applyFill="1" applyBorder="1" applyAlignment="1">
      <alignment vertical="center"/>
    </xf>
    <xf numFmtId="0" fontId="9" fillId="7" borderId="11" xfId="0" applyFont="1" applyFill="1" applyBorder="1" applyAlignment="1">
      <alignment vertical="center"/>
    </xf>
    <xf numFmtId="0" fontId="9" fillId="7" borderId="12" xfId="0" applyFont="1" applyFill="1" applyBorder="1" applyAlignment="1">
      <alignment vertical="center"/>
    </xf>
    <xf numFmtId="0" fontId="10" fillId="3" borderId="13" xfId="0" applyFont="1" applyFill="1" applyBorder="1" applyAlignment="1">
      <alignment horizontal="center" vertical="center"/>
    </xf>
    <xf numFmtId="0" fontId="10" fillId="3" borderId="14" xfId="0" applyFont="1" applyFill="1" applyBorder="1" applyAlignment="1">
      <alignment horizontal="center" vertical="center"/>
    </xf>
    <xf numFmtId="0" fontId="10" fillId="7" borderId="13" xfId="0" applyFont="1" applyFill="1" applyBorder="1" applyAlignment="1">
      <alignment horizontal="center" vertical="center"/>
    </xf>
    <xf numFmtId="0" fontId="10" fillId="7" borderId="14" xfId="0" applyFont="1" applyFill="1" applyBorder="1" applyAlignment="1">
      <alignment horizontal="center" vertical="center"/>
    </xf>
    <xf numFmtId="0" fontId="10" fillId="3" borderId="10" xfId="0" applyFont="1" applyFill="1" applyBorder="1" applyAlignment="1">
      <alignment horizontal="center" vertical="center"/>
    </xf>
    <xf numFmtId="0" fontId="10" fillId="3" borderId="12" xfId="0" applyFont="1" applyFill="1" applyBorder="1" applyAlignment="1">
      <alignment horizontal="center" vertical="center"/>
    </xf>
    <xf numFmtId="8" fontId="10" fillId="3" borderId="10" xfId="0" applyNumberFormat="1" applyFont="1" applyFill="1" applyBorder="1" applyAlignment="1">
      <alignment horizontal="center" vertical="center"/>
    </xf>
    <xf numFmtId="0" fontId="24" fillId="12" borderId="16" xfId="0" applyFont="1" applyFill="1" applyBorder="1" applyAlignment="1">
      <alignment horizontal="left" vertical="center"/>
    </xf>
    <xf numFmtId="0" fontId="24" fillId="12" borderId="17" xfId="0" applyFont="1" applyFill="1" applyBorder="1" applyAlignment="1">
      <alignment horizontal="left" vertical="center"/>
    </xf>
    <xf numFmtId="0" fontId="24" fillId="12" borderId="18" xfId="0" applyFont="1" applyFill="1" applyBorder="1" applyAlignment="1">
      <alignment horizontal="left" vertical="center"/>
    </xf>
    <xf numFmtId="0" fontId="10" fillId="7" borderId="10" xfId="0" applyFont="1" applyFill="1" applyBorder="1" applyAlignment="1">
      <alignment vertical="center"/>
    </xf>
    <xf numFmtId="0" fontId="10" fillId="7" borderId="11" xfId="0" applyFont="1" applyFill="1" applyBorder="1" applyAlignment="1">
      <alignment vertical="center"/>
    </xf>
    <xf numFmtId="0" fontId="10" fillId="7" borderId="12" xfId="0" applyFont="1" applyFill="1" applyBorder="1" applyAlignment="1">
      <alignment vertical="center"/>
    </xf>
    <xf numFmtId="0" fontId="10" fillId="3" borderId="10" xfId="0" applyFont="1" applyFill="1" applyBorder="1" applyAlignment="1">
      <alignment vertical="center"/>
    </xf>
    <xf numFmtId="0" fontId="10" fillId="3" borderId="11" xfId="0" applyFont="1" applyFill="1" applyBorder="1" applyAlignment="1">
      <alignment vertical="center"/>
    </xf>
    <xf numFmtId="0" fontId="10" fillId="3" borderId="12" xfId="0" applyFont="1" applyFill="1" applyBorder="1" applyAlignment="1">
      <alignment vertical="center"/>
    </xf>
    <xf numFmtId="0" fontId="24" fillId="13" borderId="16" xfId="0" applyFont="1" applyFill="1" applyBorder="1" applyAlignment="1">
      <alignment horizontal="left" vertical="center"/>
    </xf>
    <xf numFmtId="0" fontId="24" fillId="13" borderId="17" xfId="0" applyFont="1" applyFill="1" applyBorder="1" applyAlignment="1">
      <alignment horizontal="left" vertical="center"/>
    </xf>
    <xf numFmtId="0" fontId="24" fillId="13" borderId="18" xfId="0" applyFont="1" applyFill="1" applyBorder="1" applyAlignment="1">
      <alignment horizontal="left" vertical="center"/>
    </xf>
    <xf numFmtId="0" fontId="24" fillId="12" borderId="16" xfId="0" applyFont="1" applyFill="1" applyBorder="1" applyAlignment="1">
      <alignment vertical="center"/>
    </xf>
    <xf numFmtId="0" fontId="24" fillId="12" borderId="17" xfId="0" applyFont="1" applyFill="1" applyBorder="1" applyAlignment="1">
      <alignment vertical="center"/>
    </xf>
    <xf numFmtId="0" fontId="24" fillId="12" borderId="18" xfId="0" applyFont="1" applyFill="1" applyBorder="1" applyAlignment="1">
      <alignment vertical="center"/>
    </xf>
    <xf numFmtId="166" fontId="24" fillId="13" borderId="16" xfId="0" applyNumberFormat="1" applyFont="1" applyFill="1" applyBorder="1" applyAlignment="1">
      <alignment horizontal="left" vertical="center"/>
    </xf>
    <xf numFmtId="166" fontId="24" fillId="13" borderId="17" xfId="0" applyNumberFormat="1" applyFont="1" applyFill="1" applyBorder="1" applyAlignment="1">
      <alignment horizontal="left" vertical="center"/>
    </xf>
    <xf numFmtId="166" fontId="24" fillId="13" borderId="18" xfId="0" applyNumberFormat="1" applyFont="1" applyFill="1" applyBorder="1" applyAlignment="1">
      <alignment horizontal="left" vertical="center"/>
    </xf>
    <xf numFmtId="0" fontId="9" fillId="3" borderId="10" xfId="0" applyFont="1" applyFill="1" applyBorder="1" applyAlignment="1">
      <alignment vertical="center"/>
    </xf>
    <xf numFmtId="0" fontId="9" fillId="3" borderId="11" xfId="0" applyFont="1" applyFill="1" applyBorder="1" applyAlignment="1">
      <alignment vertical="center"/>
    </xf>
    <xf numFmtId="0" fontId="9" fillId="3" borderId="12" xfId="0" applyFont="1" applyFill="1" applyBorder="1" applyAlignment="1">
      <alignment vertical="center"/>
    </xf>
    <xf numFmtId="0" fontId="10" fillId="0" borderId="9" xfId="0" applyFont="1" applyBorder="1" applyAlignment="1">
      <alignment horizontal="center" vertical="center"/>
    </xf>
    <xf numFmtId="0" fontId="9" fillId="9" borderId="10" xfId="0" applyFont="1" applyFill="1" applyBorder="1" applyAlignment="1">
      <alignment vertical="center"/>
    </xf>
    <xf numFmtId="0" fontId="9" fillId="9" borderId="11" xfId="0" applyFont="1" applyFill="1" applyBorder="1" applyAlignment="1">
      <alignment vertical="center"/>
    </xf>
    <xf numFmtId="0" fontId="9" fillId="9" borderId="12" xfId="0" applyFont="1" applyFill="1" applyBorder="1" applyAlignment="1">
      <alignment vertical="center"/>
    </xf>
    <xf numFmtId="0" fontId="10" fillId="6" borderId="10" xfId="0" applyFont="1" applyFill="1" applyBorder="1" applyAlignment="1">
      <alignment horizontal="center" vertical="center" wrapText="1"/>
    </xf>
    <xf numFmtId="0" fontId="10" fillId="6" borderId="11" xfId="0" applyFont="1" applyFill="1" applyBorder="1" applyAlignment="1">
      <alignment horizontal="center" vertical="center" wrapText="1"/>
    </xf>
    <xf numFmtId="0" fontId="10" fillId="6" borderId="12" xfId="0" applyFont="1" applyFill="1" applyBorder="1" applyAlignment="1">
      <alignment horizontal="center" vertical="center" wrapText="1"/>
    </xf>
    <xf numFmtId="0" fontId="10" fillId="3" borderId="11" xfId="0" applyFont="1" applyFill="1" applyBorder="1" applyAlignment="1">
      <alignment horizontal="center" vertical="center"/>
    </xf>
    <xf numFmtId="0" fontId="9" fillId="6" borderId="10" xfId="0" applyFont="1" applyFill="1" applyBorder="1" applyAlignment="1">
      <alignment horizontal="center" vertical="center"/>
    </xf>
    <xf numFmtId="0" fontId="9" fillId="6" borderId="11" xfId="0" applyFont="1" applyFill="1" applyBorder="1" applyAlignment="1">
      <alignment horizontal="center" vertical="center"/>
    </xf>
    <xf numFmtId="0" fontId="9" fillId="6" borderId="12" xfId="0" applyFont="1" applyFill="1" applyBorder="1" applyAlignment="1">
      <alignment horizontal="center" vertical="center"/>
    </xf>
    <xf numFmtId="0" fontId="11" fillId="9" borderId="10" xfId="2" applyFont="1" applyFill="1" applyBorder="1" applyAlignment="1">
      <alignment horizontal="center" vertical="center"/>
    </xf>
    <xf numFmtId="0" fontId="11" fillId="9" borderId="11" xfId="2" applyFont="1" applyFill="1" applyBorder="1" applyAlignment="1">
      <alignment horizontal="center" vertical="center"/>
    </xf>
    <xf numFmtId="0" fontId="11" fillId="9" borderId="12" xfId="2" applyFont="1" applyFill="1" applyBorder="1" applyAlignment="1">
      <alignment horizontal="center" vertical="center"/>
    </xf>
    <xf numFmtId="0" fontId="25" fillId="13" borderId="15" xfId="0" applyFont="1" applyFill="1" applyBorder="1" applyAlignment="1">
      <alignment horizontal="left" vertical="center"/>
    </xf>
    <xf numFmtId="0" fontId="25" fillId="12" borderId="15" xfId="0" applyFont="1" applyFill="1" applyBorder="1" applyAlignment="1">
      <alignment horizontal="left" vertical="center"/>
    </xf>
    <xf numFmtId="0" fontId="23" fillId="18" borderId="15" xfId="0" applyFont="1" applyFill="1" applyBorder="1" applyAlignment="1">
      <alignment horizontal="center" vertical="center"/>
    </xf>
    <xf numFmtId="0" fontId="24" fillId="13" borderId="16" xfId="0" applyFont="1" applyFill="1" applyBorder="1" applyAlignment="1">
      <alignment horizontal="left" vertical="center" wrapText="1"/>
    </xf>
    <xf numFmtId="0" fontId="24" fillId="13" borderId="17" xfId="0" applyFont="1" applyFill="1" applyBorder="1" applyAlignment="1">
      <alignment horizontal="left" vertical="center" wrapText="1"/>
    </xf>
    <xf numFmtId="0" fontId="24" fillId="13" borderId="18" xfId="0" applyFont="1" applyFill="1" applyBorder="1" applyAlignment="1">
      <alignment horizontal="left" vertical="center" wrapText="1"/>
    </xf>
    <xf numFmtId="0" fontId="24" fillId="12" borderId="28" xfId="0" applyFont="1" applyFill="1" applyBorder="1" applyAlignment="1">
      <alignment horizontal="left" vertical="center"/>
    </xf>
    <xf numFmtId="0" fontId="24" fillId="12" borderId="29" xfId="0" applyFont="1" applyFill="1" applyBorder="1" applyAlignment="1">
      <alignment horizontal="left" vertical="center"/>
    </xf>
    <xf numFmtId="0" fontId="24" fillId="12" borderId="30" xfId="0" applyFont="1" applyFill="1" applyBorder="1" applyAlignment="1">
      <alignment horizontal="left" vertical="center"/>
    </xf>
    <xf numFmtId="164" fontId="10" fillId="0" borderId="1" xfId="0" applyNumberFormat="1" applyFont="1" applyFill="1" applyBorder="1" applyAlignment="1">
      <alignment horizontal="center" vertical="center"/>
    </xf>
  </cellXfs>
  <cellStyles count="4">
    <cellStyle name="Hiperlink" xfId="2" builtinId="8"/>
    <cellStyle name="Hyperlink" xfId="1" xr:uid="{00000000-000B-0000-0000-000008000000}"/>
    <cellStyle name="Normal" xfId="0" builtinId="0"/>
    <cellStyle name="Normal 2" xfId="3" xr:uid="{D45C9C45-6D93-4375-A020-8BE9D162E413}"/>
  </cellStyles>
  <dxfs count="0"/>
  <tableStyles count="0" defaultTableStyle="TableStyleMedium2" defaultPivotStyle="PivotStyleMedium9"/>
  <colors>
    <mruColors>
      <color rgb="FFFEFFDE"/>
      <color rgb="FFDCF0BD"/>
      <color rgb="FFF2F2A2"/>
      <color rgb="FFC43D0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3.xml"/><Relationship Id="rId2" Type="http://schemas.openxmlformats.org/officeDocument/2006/relationships/worksheet" Target="worksheets/sheet2.xml"/><Relationship Id="rId16" Type="http://schemas.openxmlformats.org/officeDocument/2006/relationships/externalLink" Target="externalLinks/externalLink2.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hyperlink" Target="https://bioinvasaobrasil.org.br/index.php" TargetMode="External"/><Relationship Id="rId1" Type="http://schemas.openxmlformats.org/officeDocument/2006/relationships/image" Target="../media/image2.xlsrvcdf"/></Relationships>
</file>

<file path=xl/drawings/_rels/drawing3.xml.rels><?xml version="1.0" encoding="UTF-8" standalone="yes"?>
<Relationships xmlns="http://schemas.openxmlformats.org/package/2006/relationships"><Relationship Id="rId2" Type="http://schemas.openxmlformats.org/officeDocument/2006/relationships/hyperlink" Target="https://bioinvasaobrasil.org.br/index.php" TargetMode="External"/><Relationship Id="rId1" Type="http://schemas.openxmlformats.org/officeDocument/2006/relationships/image" Target="../media/image2.xlsrvcdf"/></Relationships>
</file>

<file path=xl/drawings/drawing1.xml><?xml version="1.0" encoding="utf-8"?>
<xdr:wsDr xmlns:xdr="http://schemas.openxmlformats.org/drawingml/2006/spreadsheetDrawing" xmlns:a="http://schemas.openxmlformats.org/drawingml/2006/main">
  <xdr:twoCellAnchor editAs="oneCell">
    <xdr:from>
      <xdr:col>1</xdr:col>
      <xdr:colOff>1457325</xdr:colOff>
      <xdr:row>0</xdr:row>
      <xdr:rowOff>57150</xdr:rowOff>
    </xdr:from>
    <xdr:to>
      <xdr:col>3</xdr:col>
      <xdr:colOff>948961</xdr:colOff>
      <xdr:row>0</xdr:row>
      <xdr:rowOff>1630061</xdr:rowOff>
    </xdr:to>
    <xdr:pic>
      <xdr:nvPicPr>
        <xdr:cNvPr id="3" name="Imagem 2">
          <a:extLst>
            <a:ext uri="{FF2B5EF4-FFF2-40B4-BE49-F238E27FC236}">
              <a16:creationId xmlns:a16="http://schemas.microsoft.com/office/drawing/2014/main" id="{42ECD024-1276-2F1A-466C-9DBA292EB643}"/>
            </a:ext>
          </a:extLst>
        </xdr:cNvPr>
        <xdr:cNvPicPr>
          <a:picLocks noChangeAspect="1"/>
        </xdr:cNvPicPr>
      </xdr:nvPicPr>
      <xdr:blipFill>
        <a:blip xmlns:r="http://schemas.openxmlformats.org/officeDocument/2006/relationships" r:embed="rId1"/>
        <a:stretch>
          <a:fillRect/>
        </a:stretch>
      </xdr:blipFill>
      <xdr:spPr>
        <a:xfrm>
          <a:off x="2400300" y="57150"/>
          <a:ext cx="3158761" cy="157291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333375</xdr:colOff>
      <xdr:row>0</xdr:row>
      <xdr:rowOff>66675</xdr:rowOff>
    </xdr:from>
    <xdr:to>
      <xdr:col>3</xdr:col>
      <xdr:colOff>1085850</xdr:colOff>
      <xdr:row>5</xdr:row>
      <xdr:rowOff>153987</xdr:rowOff>
    </xdr:to>
    <xdr:pic>
      <xdr:nvPicPr>
        <xdr:cNvPr id="2" name="Imagem 1">
          <a:extLst>
            <a:ext uri="{FF2B5EF4-FFF2-40B4-BE49-F238E27FC236}">
              <a16:creationId xmlns:a16="http://schemas.microsoft.com/office/drawing/2014/main" id="{D8F0EB21-AABA-48AC-B6EA-695A08BC3333}"/>
            </a:ext>
            <a:ext uri="{147F2762-F138-4A5C-976F-8EAC2B608ADB}">
              <a16:predDERef xmlns:a16="http://schemas.microsoft.com/office/drawing/2014/main" pred="{966A7F80-420A-BA4F-4A34-6EDEFE9E8271}"/>
            </a:ext>
          </a:extLst>
        </xdr:cNvPr>
        <xdr:cNvPicPr>
          <a:picLocks noChangeAspect="1"/>
        </xdr:cNvPicPr>
      </xdr:nvPicPr>
      <xdr:blipFill>
        <a:blip xmlns:r="http://schemas.openxmlformats.org/officeDocument/2006/relationships" r:embed="rId1">
          <a:extLst>
            <a:ext uri="{837473B0-CC2E-450A-ABE3-18F120FF3D39}">
              <a1611:picAttrSrcUrl xmlns:a1611="http://schemas.microsoft.com/office/drawing/2016/11/main" r:id="rId2"/>
            </a:ext>
          </a:extLst>
        </a:blip>
        <a:stretch>
          <a:fillRect/>
        </a:stretch>
      </xdr:blipFill>
      <xdr:spPr>
        <a:xfrm>
          <a:off x="2543175" y="66675"/>
          <a:ext cx="2124075" cy="104775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2</xdr:col>
      <xdr:colOff>333375</xdr:colOff>
      <xdr:row>0</xdr:row>
      <xdr:rowOff>66675</xdr:rowOff>
    </xdr:from>
    <xdr:to>
      <xdr:col>3</xdr:col>
      <xdr:colOff>1085850</xdr:colOff>
      <xdr:row>5</xdr:row>
      <xdr:rowOff>153987</xdr:rowOff>
    </xdr:to>
    <xdr:pic>
      <xdr:nvPicPr>
        <xdr:cNvPr id="2" name="Imagem 1">
          <a:extLst>
            <a:ext uri="{FF2B5EF4-FFF2-40B4-BE49-F238E27FC236}">
              <a16:creationId xmlns:a16="http://schemas.microsoft.com/office/drawing/2014/main" id="{9848E1D8-2499-4AA2-8CBC-620F57AA43EE}"/>
            </a:ext>
            <a:ext uri="{147F2762-F138-4A5C-976F-8EAC2B608ADB}">
              <a16:predDERef xmlns:a16="http://schemas.microsoft.com/office/drawing/2014/main" pred="{966A7F80-420A-BA4F-4A34-6EDEFE9E8271}"/>
            </a:ext>
          </a:extLst>
        </xdr:cNvPr>
        <xdr:cNvPicPr>
          <a:picLocks noChangeAspect="1"/>
        </xdr:cNvPicPr>
      </xdr:nvPicPr>
      <xdr:blipFill>
        <a:blip xmlns:r="http://schemas.openxmlformats.org/officeDocument/2006/relationships" r:embed="rId1">
          <a:extLst>
            <a:ext uri="{837473B0-CC2E-450A-ABE3-18F120FF3D39}">
              <a1611:picAttrSrcUrl xmlns:a1611="http://schemas.microsoft.com/office/drawing/2016/11/main" r:id="rId2"/>
            </a:ext>
          </a:extLst>
        </a:blip>
        <a:stretch>
          <a:fillRect/>
        </a:stretch>
      </xdr:blipFill>
      <xdr:spPr>
        <a:xfrm>
          <a:off x="2543175" y="66675"/>
          <a:ext cx="2124075" cy="1047750"/>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prpa\Documents\SLDE\Manuten&#231;&#227;o%20predial\TR%20Licita&#231;&#227;o\Panilha_de_custos_e_formacao_de_precos-%20Man%20Predial%20atualizada%202022_final.xlsx" TargetMode="External"/></Relationships>
</file>

<file path=xl/externalLinks/_rels/externalLink2.xml.rels><?xml version="1.0" encoding="UTF-8" standalone="yes"?>
<Relationships xmlns="http://schemas.openxmlformats.org/package/2006/relationships"><Relationship Id="rId3" Type="http://schemas.openxmlformats.org/officeDocument/2006/relationships/externalLinkPath" Target="file:///D:\Google%20Drive%20MPF\Meu%20Drive\Documents\0%20-%20SLDE\2023\Preg&#245;es\Manuten&#231;&#227;o%20predial\Edital%20e%20Anexos%202\Edital%20e%20Anexos\ANEXO%20II%20-%20MODELO%20PROPOSTA%20E%20PLANILHA%20DE%20CUSTOS\ANEXO%20II%20-%20MODELO%20PROPOSTA%20E%20PLANILHA%20DE%20CUSTOS%20-%20PR-PA.xlsx" TargetMode="External"/><Relationship Id="rId2" Type="http://schemas.microsoft.com/office/2019/04/relationships/externalLinkLongPath" Target="/Google%20Drive%20MPF/Meu%20Drive/Documents/0%20-%20SLDE/2023/Preg&#245;es/Manuten&#231;&#227;o%20predial/Edital%20e%20Anexos%202/Edital%20e%20Anexos/ANEXO%20II%20-%20MODELO%20PROPOSTA%20E%20PLANILHA%20DE%20CUSTOS/ANEXO%20II%20-%20MODELO%20PROPOSTA%20E%20PLANILHA%20DE%20CUSTOS%20-%20PR-PA.xlsx?4321A8B7" TargetMode="External"/><Relationship Id="rId1" Type="http://schemas.openxmlformats.org/officeDocument/2006/relationships/externalLinkPath" Target="file:///\\4321A8B7\ANEXO%20II%20-%20MODELO%20PROPOSTA%20E%20PLANILHA%20DE%20CUSTOS%20-%20PR-PA.xlsx" TargetMode="External"/></Relationships>
</file>

<file path=xl/externalLinks/_rels/externalLink3.xml.rels><?xml version="1.0" encoding="UTF-8" standalone="yes"?>
<Relationships xmlns="http://schemas.openxmlformats.org/package/2006/relationships"><Relationship Id="rId2" Type="http://schemas.microsoft.com/office/2019/04/relationships/externalLinkLongPath" Target="file:///C:\Users\prpa\Documents\SLDE\Manuten&#231;&#227;o%20predial\TR%20Licita&#231;&#227;o\Users\AppData\Local\Temp\contrata&#231;&#227;o%20emergencial\TR\Vigil&#226;ncia\Users\Usuario\Documents\Vigil&#226;ncia\MODELO-PLANILHA-PADRAO-MODULOS-IN-5-2017-ALTERADA-PELA-IN-7-2018-VIGILANCIA.xlsx?98A5A81E" TargetMode="External"/><Relationship Id="rId1" Type="http://schemas.openxmlformats.org/officeDocument/2006/relationships/externalLinkPath" Target="file:///\\98A5A81E\MODELO-PLANILHA-PADRAO-MODULOS-IN-5-2017-ALTERADA-PELA-IN-7-2018-VIGILANCIA.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SERÇÃO-DE-DADOS"/>
      <sheetName val="DADOS-ESTATISTICOS"/>
      <sheetName val="ENCARGOS-SOCIAIS-E-TRABALHISTAS"/>
      <sheetName val="Encarregado Geral de Obras"/>
      <sheetName val="Oficial de Manutenção"/>
      <sheetName val="Auxiliar de manutenção predial "/>
      <sheetName val="Eletrotécnico"/>
      <sheetName val="Uniforme"/>
    </sheetNames>
    <sheetDataSet>
      <sheetData sheetId="0">
        <row r="1">
          <cell r="B1" t="str">
            <v>RAMO:</v>
          </cell>
        </row>
        <row r="2">
          <cell r="B2" t="str">
            <v>UNIDADE GESTORA (SIGLA):</v>
          </cell>
          <cell r="F2" t="str">
            <v>XX/XX/20XX</v>
          </cell>
        </row>
        <row r="11">
          <cell r="F11" t="str">
            <v>XX/XX/20XX</v>
          </cell>
        </row>
        <row r="12">
          <cell r="D12"/>
        </row>
        <row r="15">
          <cell r="F15">
            <v>12</v>
          </cell>
        </row>
        <row r="19">
          <cell r="E19"/>
        </row>
        <row r="23">
          <cell r="D23"/>
        </row>
        <row r="25">
          <cell r="F25"/>
        </row>
        <row r="30">
          <cell r="F30">
            <v>1901.73</v>
          </cell>
        </row>
        <row r="31">
          <cell r="F31">
            <v>30</v>
          </cell>
        </row>
        <row r="32">
          <cell r="F32"/>
        </row>
        <row r="33">
          <cell r="F33"/>
        </row>
        <row r="34">
          <cell r="C34" t="str">
            <v>Outras Remunerações 1 (Especificar)</v>
          </cell>
          <cell r="F34"/>
        </row>
        <row r="35">
          <cell r="C35" t="str">
            <v>Outras Remunerações 2 (Especificar)</v>
          </cell>
          <cell r="D35"/>
          <cell r="E35"/>
          <cell r="F35"/>
        </row>
        <row r="36">
          <cell r="C36" t="str">
            <v>Outras Remunerações 3 (Especificar)</v>
          </cell>
          <cell r="D36"/>
          <cell r="E36"/>
          <cell r="F36"/>
        </row>
        <row r="41">
          <cell r="F41">
            <v>8</v>
          </cell>
        </row>
        <row r="43">
          <cell r="F43">
            <v>22</v>
          </cell>
        </row>
        <row r="44">
          <cell r="C44" t="str">
            <v>Outros Benefícios 1 (Especificar)</v>
          </cell>
        </row>
        <row r="45">
          <cell r="C45" t="str">
            <v>Outros Benefícios 2 (Especificar)</v>
          </cell>
          <cell r="F45"/>
        </row>
        <row r="46">
          <cell r="C46" t="str">
            <v>Outros Benefícios 3 (Especificar)</v>
          </cell>
          <cell r="F46"/>
        </row>
        <row r="51">
          <cell r="C51" t="str">
            <v>Outras Ausências (Especificar - em %)</v>
          </cell>
          <cell r="F51"/>
        </row>
        <row r="55">
          <cell r="F55"/>
        </row>
        <row r="56">
          <cell r="F56"/>
        </row>
        <row r="67">
          <cell r="F67">
            <v>5.1533333333333298</v>
          </cell>
        </row>
        <row r="68">
          <cell r="F68">
            <v>5.0466666666666704</v>
          </cell>
        </row>
        <row r="69">
          <cell r="F69"/>
        </row>
        <row r="70">
          <cell r="F70"/>
        </row>
        <row r="71">
          <cell r="F71"/>
        </row>
      </sheetData>
      <sheetData sheetId="1">
        <row r="4">
          <cell r="F4">
            <v>220</v>
          </cell>
        </row>
      </sheetData>
      <sheetData sheetId="2">
        <row r="5">
          <cell r="E5">
            <v>8.3333333333333304</v>
          </cell>
        </row>
        <row r="16">
          <cell r="E16">
            <v>8</v>
          </cell>
        </row>
        <row r="17">
          <cell r="E17">
            <v>36.799999999999997</v>
          </cell>
        </row>
        <row r="21">
          <cell r="E21">
            <v>1.15572693055556</v>
          </cell>
        </row>
      </sheetData>
      <sheetData sheetId="3"/>
      <sheetData sheetId="4"/>
      <sheetData sheetId="5"/>
      <sheetData sheetId="6"/>
      <sheetData sheetId="7">
        <row r="9">
          <cell r="B9">
            <v>115.05</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3"/>
    </xxl21:alternateUrls>
    <sheetNames>
      <sheetName val="MODELO PROPOSTA"/>
      <sheetName val="Cálculo do BDI"/>
      <sheetName val="Valor_Deslocamento"/>
      <sheetName val="Quantidade e valor de Diárias"/>
      <sheetName val="Encarregado Geral-Estimado"/>
      <sheetName val="Encarregado Geral"/>
      <sheetName val="Oficial de Manutenção-Estimado"/>
      <sheetName val="Oficial de Manutenção"/>
      <sheetName val="Auxiliar de Manutenção-Estimado"/>
      <sheetName val="Auxiliar de Manutenção"/>
      <sheetName val="Eletrotécnico-Estimado"/>
      <sheetName val="Eletrotécnico"/>
      <sheetName val="Uniforme"/>
      <sheetName val="Materiais de Reposição - PRPA"/>
      <sheetName val="ENCARGOS-SOCIAIS-E-TRABALHISTAS"/>
      <sheetName val="DADOS-ESTATISTICO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ow r="5">
          <cell r="F5">
            <v>7</v>
          </cell>
        </row>
        <row r="8">
          <cell r="F8">
            <v>12</v>
          </cell>
        </row>
        <row r="18">
          <cell r="F18">
            <v>62.93</v>
          </cell>
        </row>
        <row r="19">
          <cell r="F19">
            <v>5.55</v>
          </cell>
        </row>
        <row r="20">
          <cell r="F20">
            <v>40</v>
          </cell>
        </row>
        <row r="21">
          <cell r="F21">
            <v>94.45</v>
          </cell>
        </row>
        <row r="22">
          <cell r="F22">
            <v>30</v>
          </cell>
        </row>
        <row r="27">
          <cell r="F27">
            <v>8</v>
          </cell>
        </row>
        <row r="28">
          <cell r="F28">
            <v>20</v>
          </cell>
        </row>
        <row r="29">
          <cell r="F29">
            <v>1.42</v>
          </cell>
        </row>
        <row r="30">
          <cell r="F30">
            <v>45.22</v>
          </cell>
        </row>
        <row r="31">
          <cell r="F31">
            <v>0.44472535049413925</v>
          </cell>
        </row>
        <row r="32">
          <cell r="F32">
            <v>15</v>
          </cell>
        </row>
        <row r="33">
          <cell r="F33">
            <v>180</v>
          </cell>
        </row>
        <row r="34">
          <cell r="F34">
            <v>54.78</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SERÇÃO-DE-DADOS"/>
    </sheetNames>
    <sheetDataSet>
      <sheetData sheetId="0"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45F82"/>
      </a:accent1>
      <a:accent2>
        <a:srgbClr val="E87331"/>
      </a:accent2>
      <a:accent3>
        <a:srgbClr val="186C24"/>
      </a:accent3>
      <a:accent4>
        <a:srgbClr val="0F9ED5"/>
      </a:accent4>
      <a:accent5>
        <a:srgbClr val="A02B93"/>
      </a:accent5>
      <a:accent6>
        <a:srgbClr val="4EA72E"/>
      </a:accent6>
      <a:hlink>
        <a:srgbClr val="467886"/>
      </a:hlink>
      <a:folHlink>
        <a:srgbClr val="96607D"/>
      </a:folHlink>
    </a:clrScheme>
    <a:fontScheme name="Office">
      <a:majorFont>
        <a:latin typeface="Aptos Display"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hyperlink" Target="https://www.ocupacoes.com.br/cbo-mte/411010-assistente-administrativo" TargetMode="External"/><Relationship Id="rId1" Type="http://schemas.openxmlformats.org/officeDocument/2006/relationships/hyperlink" Target="https://novoportal.mpf.mp.br/unico/modulo/procedimento/painel/" TargetMode="External"/><Relationship Id="rId5" Type="http://schemas.openxmlformats.org/officeDocument/2006/relationships/comments" Target="../comments1.xml"/><Relationship Id="rId4" Type="http://schemas.openxmlformats.org/officeDocument/2006/relationships/vmlDrawing" Target="../drawings/vmlDrawing1.vml"/></Relationships>
</file>

<file path=xl/worksheets/_rels/sheet14.xml.rels><?xml version="1.0" encoding="UTF-8" standalone="yes"?>
<Relationships xmlns="http://schemas.openxmlformats.org/package/2006/relationships"><Relationship Id="rId3" Type="http://schemas.openxmlformats.org/officeDocument/2006/relationships/hyperlink" Target="https://www.ocupacoes.com.br/cbo-mte/514320-faxineiro" TargetMode="External"/><Relationship Id="rId2" Type="http://schemas.openxmlformats.org/officeDocument/2006/relationships/hyperlink" Target="https://www.ocupacoes.com.br/cbo-mte/411010-assistente-administrativo" TargetMode="External"/><Relationship Id="rId1" Type="http://schemas.openxmlformats.org/officeDocument/2006/relationships/hyperlink" Target="https://novoportal.mpf.mp.br/unico/modulo/procedimento/painel/" TargetMode="External"/><Relationship Id="rId6" Type="http://schemas.openxmlformats.org/officeDocument/2006/relationships/comments" Target="../comments2.xml"/><Relationship Id="rId5" Type="http://schemas.openxmlformats.org/officeDocument/2006/relationships/vmlDrawing" Target="../drawings/vmlDrawing2.vml"/><Relationship Id="rId4" Type="http://schemas.openxmlformats.org/officeDocument/2006/relationships/drawing" Target="../drawings/drawing3.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C9726A-0BF4-4A0B-B553-8F332CE15E3A}">
  <sheetPr>
    <pageSetUpPr fitToPage="1"/>
  </sheetPr>
  <dimension ref="A1:BL35"/>
  <sheetViews>
    <sheetView showGridLines="0" showRowColHeaders="0" tabSelected="1" view="pageBreakPreview" zoomScale="110" zoomScaleNormal="120" zoomScaleSheetLayoutView="110" zoomScalePageLayoutView="90" workbookViewId="0">
      <selection activeCell="C7" sqref="C7"/>
    </sheetView>
  </sheetViews>
  <sheetFormatPr defaultColWidth="8.88671875" defaultRowHeight="13.2" x14ac:dyDescent="0.25"/>
  <cols>
    <col min="1" max="1" width="7.6640625" style="111" customWidth="1"/>
    <col min="2" max="10" width="17.88671875" style="111" customWidth="1"/>
    <col min="11" max="64" width="11.6640625" style="111" customWidth="1"/>
    <col min="65" max="16384" width="8.88671875" style="111"/>
  </cols>
  <sheetData>
    <row r="1" spans="1:64" ht="12.75" customHeight="1" x14ac:dyDescent="0.25">
      <c r="A1" s="135" t="s">
        <v>523</v>
      </c>
      <c r="B1" s="135"/>
      <c r="C1" s="135"/>
      <c r="D1" s="135"/>
      <c r="E1" s="135"/>
      <c r="F1" s="135"/>
      <c r="G1" s="135"/>
      <c r="H1" s="135"/>
      <c r="I1" s="135"/>
      <c r="J1" s="135"/>
    </row>
    <row r="2" spans="1:64" ht="18" customHeight="1" x14ac:dyDescent="0.25">
      <c r="A2" s="135"/>
      <c r="B2" s="135"/>
      <c r="C2" s="135"/>
      <c r="D2" s="135"/>
      <c r="E2" s="135"/>
      <c r="F2" s="135"/>
      <c r="G2" s="135"/>
      <c r="H2" s="135"/>
      <c r="I2" s="135"/>
      <c r="J2" s="135"/>
    </row>
    <row r="4" spans="1:64" ht="17.399999999999999" x14ac:dyDescent="0.25">
      <c r="A4" s="136" t="s">
        <v>524</v>
      </c>
      <c r="B4" s="136"/>
      <c r="C4" s="136"/>
      <c r="D4" s="136"/>
      <c r="E4" s="136"/>
      <c r="F4" s="136"/>
      <c r="G4" s="136"/>
      <c r="H4" s="136"/>
      <c r="I4" s="136"/>
      <c r="J4" s="136"/>
    </row>
    <row r="8" spans="1:64" x14ac:dyDescent="0.25">
      <c r="A8" s="112"/>
      <c r="B8" s="113"/>
      <c r="C8" s="113"/>
      <c r="D8" s="113"/>
      <c r="E8" s="113"/>
      <c r="F8" s="113"/>
      <c r="G8" s="113"/>
      <c r="H8" s="113"/>
      <c r="I8" s="113"/>
      <c r="J8" s="113"/>
      <c r="K8" s="113"/>
      <c r="L8" s="113"/>
      <c r="M8" s="113"/>
      <c r="N8" s="113"/>
      <c r="O8" s="113"/>
      <c r="P8" s="113"/>
      <c r="Q8" s="113"/>
      <c r="R8" s="113"/>
      <c r="S8" s="113"/>
      <c r="T8" s="113"/>
      <c r="U8" s="113"/>
      <c r="V8" s="113"/>
      <c r="W8" s="113"/>
      <c r="X8" s="113"/>
      <c r="Y8" s="113"/>
      <c r="Z8" s="113"/>
      <c r="AA8" s="113"/>
      <c r="AB8" s="113"/>
      <c r="AC8" s="113"/>
      <c r="AD8" s="113"/>
      <c r="AE8" s="113"/>
      <c r="AF8" s="113"/>
      <c r="AG8" s="113"/>
      <c r="AH8" s="113"/>
      <c r="AI8" s="113"/>
      <c r="AJ8" s="113"/>
      <c r="AK8" s="113"/>
      <c r="AL8" s="113"/>
      <c r="AM8" s="113"/>
      <c r="AN8" s="113"/>
      <c r="AO8" s="113"/>
      <c r="AP8" s="113"/>
      <c r="AQ8" s="113"/>
      <c r="AR8" s="113"/>
      <c r="AS8" s="113"/>
      <c r="AT8" s="113"/>
      <c r="AU8" s="113"/>
      <c r="AV8" s="113"/>
      <c r="AW8" s="113"/>
      <c r="AX8" s="113"/>
      <c r="AY8" s="113"/>
      <c r="AZ8" s="113"/>
      <c r="BA8" s="113"/>
      <c r="BB8" s="113"/>
      <c r="BC8" s="113"/>
      <c r="BD8" s="113"/>
      <c r="BE8" s="113"/>
      <c r="BF8" s="113"/>
      <c r="BG8" s="113"/>
      <c r="BH8" s="113"/>
      <c r="BI8" s="113"/>
      <c r="BJ8" s="113"/>
      <c r="BK8" s="113"/>
      <c r="BL8" s="113"/>
    </row>
    <row r="9" spans="1:64" ht="12.75" customHeight="1" x14ac:dyDescent="0.25">
      <c r="A9" s="114">
        <v>1</v>
      </c>
      <c r="B9" s="134" t="s">
        <v>525</v>
      </c>
      <c r="C9" s="134"/>
      <c r="D9" s="134"/>
      <c r="E9" s="134"/>
      <c r="F9" s="134"/>
      <c r="G9" s="134"/>
      <c r="H9" s="134"/>
      <c r="I9" s="134"/>
      <c r="J9" s="134"/>
      <c r="K9" s="113"/>
      <c r="L9" s="113"/>
      <c r="M9" s="113"/>
      <c r="N9" s="113"/>
      <c r="O9" s="113"/>
      <c r="P9" s="113"/>
      <c r="Q9" s="113"/>
      <c r="R9" s="113"/>
      <c r="S9" s="113"/>
      <c r="T9" s="113"/>
      <c r="U9" s="113"/>
      <c r="V9" s="113"/>
      <c r="W9" s="113"/>
      <c r="X9" s="113"/>
      <c r="Y9" s="113"/>
      <c r="Z9" s="113"/>
      <c r="AA9" s="113"/>
      <c r="AB9" s="113"/>
      <c r="AC9" s="113"/>
      <c r="AD9" s="113"/>
      <c r="AE9" s="113"/>
      <c r="AF9" s="113"/>
      <c r="AG9" s="113"/>
      <c r="AH9" s="113"/>
      <c r="AI9" s="113"/>
      <c r="AJ9" s="113"/>
      <c r="AK9" s="113"/>
      <c r="AL9" s="113"/>
      <c r="AM9" s="113"/>
      <c r="AN9" s="113"/>
      <c r="AO9" s="113"/>
      <c r="AP9" s="113"/>
      <c r="AQ9" s="113"/>
      <c r="AR9" s="113"/>
      <c r="AS9" s="113"/>
      <c r="AT9" s="113"/>
      <c r="AU9" s="113"/>
      <c r="AV9" s="113"/>
      <c r="AW9" s="113"/>
      <c r="AX9" s="113"/>
      <c r="AY9" s="113"/>
      <c r="AZ9" s="113"/>
      <c r="BA9" s="113"/>
      <c r="BB9" s="113"/>
      <c r="BC9" s="113"/>
      <c r="BD9" s="113"/>
      <c r="BE9" s="113"/>
      <c r="BF9" s="113"/>
      <c r="BG9" s="113"/>
      <c r="BH9" s="113"/>
      <c r="BI9" s="113"/>
      <c r="BJ9" s="113"/>
      <c r="BK9" s="113"/>
      <c r="BL9" s="113"/>
    </row>
    <row r="10" spans="1:64" x14ac:dyDescent="0.25">
      <c r="A10" s="116"/>
      <c r="B10" s="116"/>
      <c r="C10" s="116"/>
      <c r="D10" s="116"/>
      <c r="E10" s="116"/>
      <c r="F10" s="116"/>
      <c r="G10" s="116"/>
      <c r="H10" s="116"/>
      <c r="I10" s="116"/>
      <c r="J10" s="116"/>
    </row>
    <row r="11" spans="1:64" ht="24.6" customHeight="1" x14ac:dyDescent="0.25">
      <c r="A11" s="114">
        <v>2</v>
      </c>
      <c r="B11" s="134" t="s">
        <v>526</v>
      </c>
      <c r="C11" s="134"/>
      <c r="D11" s="134"/>
      <c r="E11" s="134"/>
      <c r="F11" s="134"/>
      <c r="G11" s="134"/>
      <c r="H11" s="134"/>
      <c r="I11" s="134"/>
      <c r="J11" s="134"/>
    </row>
    <row r="12" spans="1:64" x14ac:dyDescent="0.25">
      <c r="A12" s="114"/>
      <c r="B12" s="117"/>
      <c r="C12" s="117"/>
      <c r="D12" s="117"/>
      <c r="E12" s="118"/>
      <c r="F12" s="119"/>
      <c r="G12" s="119"/>
      <c r="H12" s="117"/>
      <c r="I12" s="119"/>
      <c r="J12" s="119"/>
    </row>
    <row r="13" spans="1:64" ht="24.6" customHeight="1" x14ac:dyDescent="0.25">
      <c r="A13" s="114">
        <v>3</v>
      </c>
      <c r="B13" s="134" t="s">
        <v>527</v>
      </c>
      <c r="C13" s="134"/>
      <c r="D13" s="134"/>
      <c r="E13" s="134"/>
      <c r="F13" s="134"/>
      <c r="G13" s="134"/>
      <c r="H13" s="134"/>
      <c r="I13" s="134"/>
      <c r="J13" s="134"/>
    </row>
    <row r="14" spans="1:64" x14ac:dyDescent="0.25">
      <c r="A14" s="114"/>
      <c r="B14" s="117"/>
      <c r="C14" s="117"/>
      <c r="D14" s="117"/>
      <c r="E14" s="118"/>
      <c r="F14" s="119"/>
      <c r="G14" s="119"/>
      <c r="H14" s="117"/>
      <c r="I14" s="119"/>
      <c r="J14" s="119"/>
    </row>
    <row r="15" spans="1:64" ht="24.6" customHeight="1" x14ac:dyDescent="0.25">
      <c r="A15" s="114">
        <v>4</v>
      </c>
      <c r="B15" s="134" t="s">
        <v>528</v>
      </c>
      <c r="C15" s="134"/>
      <c r="D15" s="134"/>
      <c r="E15" s="134"/>
      <c r="F15" s="134"/>
      <c r="G15" s="134"/>
      <c r="H15" s="134"/>
      <c r="I15" s="134"/>
      <c r="J15" s="134"/>
    </row>
    <row r="16" spans="1:64" x14ac:dyDescent="0.25">
      <c r="A16" s="114"/>
      <c r="B16" s="115"/>
      <c r="C16" s="115"/>
      <c r="D16" s="115"/>
      <c r="E16" s="115"/>
      <c r="F16" s="115"/>
      <c r="G16" s="115"/>
      <c r="H16" s="115"/>
      <c r="I16" s="115"/>
      <c r="J16" s="115"/>
    </row>
    <row r="17" spans="1:10" ht="12.9" customHeight="1" x14ac:dyDescent="0.25">
      <c r="A17" s="114">
        <v>5</v>
      </c>
      <c r="B17" s="134" t="s">
        <v>529</v>
      </c>
      <c r="C17" s="134"/>
      <c r="D17" s="134"/>
      <c r="E17" s="134"/>
      <c r="F17" s="134"/>
      <c r="G17" s="134"/>
      <c r="H17" s="134"/>
      <c r="I17" s="134"/>
      <c r="J17" s="134"/>
    </row>
    <row r="18" spans="1:10" x14ac:dyDescent="0.25">
      <c r="A18" s="114"/>
      <c r="B18" s="117"/>
      <c r="C18" s="117"/>
      <c r="D18" s="117"/>
      <c r="E18" s="118"/>
      <c r="F18" s="119"/>
      <c r="G18" s="119"/>
      <c r="H18" s="117"/>
      <c r="I18" s="119"/>
      <c r="J18" s="119"/>
    </row>
    <row r="19" spans="1:10" ht="45" customHeight="1" x14ac:dyDescent="0.25">
      <c r="A19" s="114">
        <v>6</v>
      </c>
      <c r="B19" s="134" t="s">
        <v>530</v>
      </c>
      <c r="C19" s="134"/>
      <c r="D19" s="134"/>
      <c r="E19" s="134"/>
      <c r="F19" s="134"/>
      <c r="G19" s="134"/>
      <c r="H19" s="134"/>
      <c r="I19" s="134"/>
      <c r="J19" s="134"/>
    </row>
    <row r="20" spans="1:10" x14ac:dyDescent="0.25">
      <c r="A20" s="114"/>
      <c r="B20" s="115"/>
      <c r="C20" s="115"/>
      <c r="D20" s="115"/>
      <c r="E20" s="115"/>
      <c r="F20" s="115"/>
      <c r="G20" s="115"/>
      <c r="H20" s="115"/>
      <c r="I20" s="115"/>
      <c r="J20" s="115"/>
    </row>
    <row r="21" spans="1:10" ht="30.75" customHeight="1" x14ac:dyDescent="0.25">
      <c r="A21" s="120">
        <v>7</v>
      </c>
      <c r="B21" s="134" t="s">
        <v>531</v>
      </c>
      <c r="C21" s="134"/>
      <c r="D21" s="134"/>
      <c r="E21" s="134"/>
      <c r="F21" s="134"/>
      <c r="G21" s="134"/>
      <c r="H21" s="134"/>
      <c r="I21" s="134"/>
      <c r="J21" s="134"/>
    </row>
    <row r="23" spans="1:10" ht="27.75" customHeight="1" x14ac:dyDescent="0.25">
      <c r="A23" s="114">
        <v>8</v>
      </c>
      <c r="B23" s="134" t="s">
        <v>532</v>
      </c>
      <c r="C23" s="134"/>
      <c r="D23" s="134"/>
      <c r="E23" s="134"/>
      <c r="F23" s="134"/>
      <c r="G23" s="134"/>
      <c r="H23" s="134"/>
      <c r="I23" s="134"/>
      <c r="J23" s="134"/>
    </row>
    <row r="24" spans="1:10" ht="10.5" customHeight="1" x14ac:dyDescent="0.25"/>
    <row r="25" spans="1:10" ht="26.25" customHeight="1" x14ac:dyDescent="0.25">
      <c r="A25" s="114"/>
      <c r="B25" s="134"/>
      <c r="C25" s="134"/>
      <c r="D25" s="134"/>
      <c r="E25" s="134"/>
      <c r="F25" s="134"/>
      <c r="G25" s="134"/>
      <c r="H25" s="134"/>
      <c r="I25" s="134"/>
      <c r="J25" s="134"/>
    </row>
    <row r="26" spans="1:10" ht="14.25" customHeight="1" x14ac:dyDescent="0.25"/>
    <row r="27" spans="1:10" ht="39.75" customHeight="1" x14ac:dyDescent="0.25">
      <c r="A27" s="114"/>
      <c r="B27" s="134"/>
      <c r="C27" s="134"/>
      <c r="D27" s="134"/>
      <c r="E27" s="134"/>
      <c r="F27" s="134"/>
      <c r="G27" s="134"/>
      <c r="H27" s="134"/>
      <c r="I27" s="134"/>
      <c r="J27" s="134"/>
    </row>
    <row r="29" spans="1:10" x14ac:dyDescent="0.25">
      <c r="A29" s="114"/>
      <c r="B29" s="134"/>
      <c r="C29" s="134"/>
      <c r="D29" s="134"/>
      <c r="E29" s="134"/>
      <c r="F29" s="134"/>
      <c r="G29" s="134"/>
      <c r="H29" s="134"/>
      <c r="I29" s="134"/>
      <c r="J29" s="134"/>
    </row>
    <row r="31" spans="1:10" ht="30" customHeight="1" x14ac:dyDescent="0.25">
      <c r="A31" s="114"/>
      <c r="B31" s="134"/>
      <c r="C31" s="134"/>
      <c r="D31" s="134"/>
      <c r="E31" s="134"/>
      <c r="F31" s="134"/>
      <c r="G31" s="134"/>
      <c r="H31" s="134"/>
      <c r="I31" s="134"/>
      <c r="J31" s="134"/>
    </row>
    <row r="33" spans="1:10" ht="35.25" customHeight="1" x14ac:dyDescent="0.25">
      <c r="A33" s="114"/>
      <c r="B33" s="137"/>
      <c r="C33" s="137"/>
      <c r="D33" s="137"/>
      <c r="E33" s="137"/>
      <c r="F33" s="137"/>
      <c r="G33" s="137"/>
      <c r="H33" s="137"/>
      <c r="I33" s="137"/>
      <c r="J33" s="137"/>
    </row>
    <row r="35" spans="1:10" x14ac:dyDescent="0.25">
      <c r="A35" s="114"/>
      <c r="B35" s="138"/>
      <c r="C35" s="138"/>
      <c r="D35" s="138"/>
      <c r="E35" s="138"/>
      <c r="F35" s="138"/>
      <c r="G35" s="138"/>
      <c r="H35" s="138"/>
      <c r="I35" s="138"/>
      <c r="J35" s="138"/>
    </row>
  </sheetData>
  <mergeCells count="16">
    <mergeCell ref="B29:J29"/>
    <mergeCell ref="B31:J31"/>
    <mergeCell ref="B33:J33"/>
    <mergeCell ref="B35:J35"/>
    <mergeCell ref="B17:J17"/>
    <mergeCell ref="B19:J19"/>
    <mergeCell ref="B21:J21"/>
    <mergeCell ref="B23:J23"/>
    <mergeCell ref="B25:J25"/>
    <mergeCell ref="B27:J27"/>
    <mergeCell ref="B15:J15"/>
    <mergeCell ref="A1:J2"/>
    <mergeCell ref="A4:J4"/>
    <mergeCell ref="B9:J9"/>
    <mergeCell ref="B11:J11"/>
    <mergeCell ref="B13:J13"/>
  </mergeCells>
  <printOptions horizontalCentered="1" verticalCentered="1"/>
  <pageMargins left="0.78749999999999998" right="0.78749999999999998" top="1.2993055555555599" bottom="0.94513888888888897" header="0.78749999999999998" footer="0.78749999999999998"/>
  <pageSetup paperSize="9" scale="76" orientation="landscape" useFirstPageNumber="1" horizontalDpi="300" verticalDpi="300" r:id="rId1"/>
  <headerFooter>
    <oddHeader>&amp;RPregão Eletrônico PR/PI nº 1/2022
Anexo II - Modelo de Proposta e Planilha de Custos e Formação do Valor Estimado</oddHeader>
    <oddFooter>&amp;L&amp;A&amp;R&amp;P/&amp;N</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AB9CDC-D63D-418E-A42A-FA3B7C0406A9}">
  <dimension ref="A1:G105"/>
  <sheetViews>
    <sheetView zoomScaleNormal="100" workbookViewId="0">
      <selection activeCell="D10" sqref="D10"/>
    </sheetView>
  </sheetViews>
  <sheetFormatPr defaultRowHeight="14.4" x14ac:dyDescent="0.3"/>
  <cols>
    <col min="2" max="2" width="57.33203125" customWidth="1"/>
    <col min="3" max="3" width="32.5546875" customWidth="1"/>
    <col min="4" max="4" width="17.109375" customWidth="1"/>
    <col min="5" max="5" width="13.109375" customWidth="1"/>
    <col min="6" max="6" width="10.44140625" customWidth="1"/>
    <col min="7" max="7" width="15.33203125" customWidth="1"/>
  </cols>
  <sheetData>
    <row r="1" spans="1:7" ht="20.100000000000001" customHeight="1" thickTop="1" thickBot="1" x14ac:dyDescent="0.35">
      <c r="A1" s="179" t="s">
        <v>154</v>
      </c>
      <c r="B1" s="180"/>
      <c r="C1" s="180"/>
      <c r="D1" s="180"/>
      <c r="E1" s="180"/>
      <c r="F1" s="180"/>
      <c r="G1" s="181"/>
    </row>
    <row r="2" spans="1:7" ht="30" customHeight="1" thickTop="1" thickBot="1" x14ac:dyDescent="0.35">
      <c r="A2" s="65" t="s">
        <v>1</v>
      </c>
      <c r="B2" s="65" t="s">
        <v>67</v>
      </c>
      <c r="C2" s="65" t="s">
        <v>50</v>
      </c>
      <c r="D2" s="65" t="s">
        <v>68</v>
      </c>
      <c r="E2" s="55" t="s">
        <v>33</v>
      </c>
      <c r="F2" s="55" t="s">
        <v>89</v>
      </c>
      <c r="G2" s="55" t="s">
        <v>52</v>
      </c>
    </row>
    <row r="3" spans="1:7" ht="20.100000000000001" customHeight="1" x14ac:dyDescent="0.3">
      <c r="A3" s="23">
        <f>ROW()-2</f>
        <v>1</v>
      </c>
      <c r="B3" s="56" t="s">
        <v>155</v>
      </c>
      <c r="C3" s="23" t="s">
        <v>156</v>
      </c>
      <c r="D3" s="124">
        <v>11.56</v>
      </c>
      <c r="E3" s="66">
        <v>4</v>
      </c>
      <c r="F3" s="39"/>
      <c r="G3" s="67">
        <f t="shared" ref="G3:G34" si="0">TRUNC((D3*E3),2)</f>
        <v>46.24</v>
      </c>
    </row>
    <row r="4" spans="1:7" ht="20.100000000000001" customHeight="1" x14ac:dyDescent="0.3">
      <c r="A4" s="23">
        <f t="shared" ref="A4:A67" si="1">ROW()-2</f>
        <v>2</v>
      </c>
      <c r="B4" s="56" t="s">
        <v>157</v>
      </c>
      <c r="C4" s="23" t="s">
        <v>158</v>
      </c>
      <c r="D4" s="124">
        <v>9.7100000000000009</v>
      </c>
      <c r="E4" s="39"/>
      <c r="F4" s="66" t="s">
        <v>92</v>
      </c>
      <c r="G4" s="67">
        <f t="shared" si="0"/>
        <v>0</v>
      </c>
    </row>
    <row r="5" spans="1:7" ht="20.100000000000001" customHeight="1" x14ac:dyDescent="0.3">
      <c r="A5" s="23">
        <f t="shared" si="1"/>
        <v>3</v>
      </c>
      <c r="B5" s="56" t="s">
        <v>159</v>
      </c>
      <c r="C5" s="23" t="s">
        <v>158</v>
      </c>
      <c r="D5" s="124">
        <v>28.82</v>
      </c>
      <c r="E5" s="66">
        <v>2</v>
      </c>
      <c r="F5" s="39"/>
      <c r="G5" s="67">
        <f t="shared" si="0"/>
        <v>57.64</v>
      </c>
    </row>
    <row r="6" spans="1:7" ht="20.100000000000001" customHeight="1" x14ac:dyDescent="0.3">
      <c r="A6" s="23">
        <f t="shared" si="1"/>
        <v>4</v>
      </c>
      <c r="B6" s="56" t="s">
        <v>160</v>
      </c>
      <c r="C6" s="23" t="s">
        <v>158</v>
      </c>
      <c r="D6" s="124">
        <v>46.23</v>
      </c>
      <c r="E6" s="66">
        <v>1</v>
      </c>
      <c r="F6" s="39"/>
      <c r="G6" s="67">
        <f t="shared" si="0"/>
        <v>46.23</v>
      </c>
    </row>
    <row r="7" spans="1:7" ht="20.100000000000001" customHeight="1" x14ac:dyDescent="0.3">
      <c r="A7" s="23">
        <f t="shared" si="1"/>
        <v>5</v>
      </c>
      <c r="B7" s="56" t="s">
        <v>161</v>
      </c>
      <c r="C7" s="23" t="s">
        <v>162</v>
      </c>
      <c r="D7" s="124">
        <v>9.7799999999999994</v>
      </c>
      <c r="E7" s="39"/>
      <c r="F7" s="66" t="s">
        <v>92</v>
      </c>
      <c r="G7" s="67">
        <f t="shared" si="0"/>
        <v>0</v>
      </c>
    </row>
    <row r="8" spans="1:7" ht="20.100000000000001" customHeight="1" x14ac:dyDescent="0.3">
      <c r="A8" s="23">
        <f t="shared" si="1"/>
        <v>6</v>
      </c>
      <c r="B8" s="56" t="s">
        <v>163</v>
      </c>
      <c r="C8" s="23" t="s">
        <v>79</v>
      </c>
      <c r="D8" s="124">
        <v>21.32</v>
      </c>
      <c r="E8" s="66">
        <v>1</v>
      </c>
      <c r="F8" s="39"/>
      <c r="G8" s="67">
        <f t="shared" si="0"/>
        <v>21.32</v>
      </c>
    </row>
    <row r="9" spans="1:7" ht="20.100000000000001" customHeight="1" x14ac:dyDescent="0.3">
      <c r="A9" s="23">
        <f t="shared" si="1"/>
        <v>7</v>
      </c>
      <c r="B9" s="56" t="s">
        <v>164</v>
      </c>
      <c r="C9" s="23" t="s">
        <v>79</v>
      </c>
      <c r="D9" s="124">
        <v>45.5</v>
      </c>
      <c r="E9" s="39"/>
      <c r="F9" s="66" t="s">
        <v>92</v>
      </c>
      <c r="G9" s="67">
        <f t="shared" si="0"/>
        <v>0</v>
      </c>
    </row>
    <row r="10" spans="1:7" ht="20.100000000000001" customHeight="1" x14ac:dyDescent="0.3">
      <c r="A10" s="23">
        <f t="shared" si="1"/>
        <v>8</v>
      </c>
      <c r="B10" s="56" t="s">
        <v>165</v>
      </c>
      <c r="C10" s="23" t="s">
        <v>79</v>
      </c>
      <c r="D10" s="124">
        <v>22.32</v>
      </c>
      <c r="E10" s="39"/>
      <c r="F10" s="66" t="s">
        <v>92</v>
      </c>
      <c r="G10" s="67">
        <f t="shared" si="0"/>
        <v>0</v>
      </c>
    </row>
    <row r="11" spans="1:7" ht="20.100000000000001" customHeight="1" x14ac:dyDescent="0.3">
      <c r="A11" s="23">
        <f t="shared" si="1"/>
        <v>9</v>
      </c>
      <c r="B11" s="56" t="s">
        <v>166</v>
      </c>
      <c r="C11" s="23" t="s">
        <v>76</v>
      </c>
      <c r="D11" s="124">
        <v>50.02</v>
      </c>
      <c r="E11" s="39"/>
      <c r="F11" s="66" t="s">
        <v>92</v>
      </c>
      <c r="G11" s="67">
        <f t="shared" si="0"/>
        <v>0</v>
      </c>
    </row>
    <row r="12" spans="1:7" ht="20.100000000000001" customHeight="1" x14ac:dyDescent="0.3">
      <c r="A12" s="23">
        <f t="shared" si="1"/>
        <v>10</v>
      </c>
      <c r="B12" s="56" t="s">
        <v>167</v>
      </c>
      <c r="C12" s="23" t="s">
        <v>76</v>
      </c>
      <c r="D12" s="124">
        <v>57.32</v>
      </c>
      <c r="E12" s="39"/>
      <c r="F12" s="66" t="s">
        <v>92</v>
      </c>
      <c r="G12" s="67">
        <f t="shared" si="0"/>
        <v>0</v>
      </c>
    </row>
    <row r="13" spans="1:7" ht="20.100000000000001" customHeight="1" x14ac:dyDescent="0.3">
      <c r="A13" s="23">
        <f t="shared" si="1"/>
        <v>11</v>
      </c>
      <c r="B13" s="56" t="s">
        <v>168</v>
      </c>
      <c r="C13" s="23" t="s">
        <v>79</v>
      </c>
      <c r="D13" s="124">
        <v>27.61</v>
      </c>
      <c r="E13" s="39"/>
      <c r="F13" s="66" t="s">
        <v>92</v>
      </c>
      <c r="G13" s="67">
        <f t="shared" si="0"/>
        <v>0</v>
      </c>
    </row>
    <row r="14" spans="1:7" ht="20.100000000000001" customHeight="1" x14ac:dyDescent="0.3">
      <c r="A14" s="23">
        <f t="shared" si="1"/>
        <v>12</v>
      </c>
      <c r="B14" s="56" t="s">
        <v>169</v>
      </c>
      <c r="C14" s="23" t="s">
        <v>170</v>
      </c>
      <c r="D14" s="124">
        <v>2.0499999999999998</v>
      </c>
      <c r="E14" s="39"/>
      <c r="F14" s="66" t="s">
        <v>92</v>
      </c>
      <c r="G14" s="67">
        <f t="shared" si="0"/>
        <v>0</v>
      </c>
    </row>
    <row r="15" spans="1:7" ht="20.100000000000001" customHeight="1" x14ac:dyDescent="0.3">
      <c r="A15" s="23">
        <f t="shared" si="1"/>
        <v>13</v>
      </c>
      <c r="B15" s="56" t="s">
        <v>171</v>
      </c>
      <c r="C15" s="23" t="s">
        <v>79</v>
      </c>
      <c r="D15" s="124">
        <v>9.02</v>
      </c>
      <c r="E15" s="66">
        <v>1</v>
      </c>
      <c r="F15" s="39"/>
      <c r="G15" s="67">
        <f t="shared" si="0"/>
        <v>9.02</v>
      </c>
    </row>
    <row r="16" spans="1:7" ht="20.100000000000001" customHeight="1" x14ac:dyDescent="0.3">
      <c r="A16" s="23">
        <f t="shared" si="1"/>
        <v>14</v>
      </c>
      <c r="B16" s="56" t="s">
        <v>172</v>
      </c>
      <c r="C16" s="23" t="s">
        <v>79</v>
      </c>
      <c r="D16" s="124">
        <v>10.050000000000001</v>
      </c>
      <c r="E16" s="66">
        <v>1</v>
      </c>
      <c r="F16" s="39"/>
      <c r="G16" s="67">
        <f t="shared" si="0"/>
        <v>10.050000000000001</v>
      </c>
    </row>
    <row r="17" spans="1:7" ht="20.100000000000001" customHeight="1" x14ac:dyDescent="0.3">
      <c r="A17" s="23">
        <f t="shared" si="1"/>
        <v>15</v>
      </c>
      <c r="B17" s="56" t="s">
        <v>173</v>
      </c>
      <c r="C17" s="23" t="s">
        <v>156</v>
      </c>
      <c r="D17" s="124">
        <v>13.92</v>
      </c>
      <c r="E17" s="66">
        <v>4</v>
      </c>
      <c r="F17" s="39"/>
      <c r="G17" s="67">
        <f t="shared" si="0"/>
        <v>55.68</v>
      </c>
    </row>
    <row r="18" spans="1:7" ht="20.100000000000001" customHeight="1" x14ac:dyDescent="0.3">
      <c r="A18" s="23">
        <f t="shared" si="1"/>
        <v>16</v>
      </c>
      <c r="B18" s="56" t="s">
        <v>174</v>
      </c>
      <c r="C18" s="23" t="s">
        <v>76</v>
      </c>
      <c r="D18" s="124">
        <v>11.38</v>
      </c>
      <c r="E18" s="66">
        <v>12</v>
      </c>
      <c r="F18" s="39"/>
      <c r="G18" s="67">
        <f t="shared" si="0"/>
        <v>136.56</v>
      </c>
    </row>
    <row r="19" spans="1:7" ht="20.100000000000001" customHeight="1" x14ac:dyDescent="0.3">
      <c r="A19" s="23">
        <f t="shared" si="1"/>
        <v>17</v>
      </c>
      <c r="B19" s="56" t="s">
        <v>175</v>
      </c>
      <c r="C19" s="23" t="s">
        <v>79</v>
      </c>
      <c r="D19" s="124">
        <v>24.71</v>
      </c>
      <c r="E19" s="66">
        <v>2</v>
      </c>
      <c r="F19" s="39"/>
      <c r="G19" s="67">
        <f t="shared" si="0"/>
        <v>49.42</v>
      </c>
    </row>
    <row r="20" spans="1:7" ht="20.100000000000001" customHeight="1" x14ac:dyDescent="0.3">
      <c r="A20" s="23">
        <f t="shared" si="1"/>
        <v>18</v>
      </c>
      <c r="B20" s="68" t="s">
        <v>176</v>
      </c>
      <c r="C20" s="23" t="s">
        <v>79</v>
      </c>
      <c r="D20" s="124">
        <v>26.21</v>
      </c>
      <c r="E20" s="66">
        <v>2</v>
      </c>
      <c r="F20" s="39"/>
      <c r="G20" s="67">
        <f t="shared" si="0"/>
        <v>52.42</v>
      </c>
    </row>
    <row r="21" spans="1:7" ht="20.100000000000001" customHeight="1" x14ac:dyDescent="0.3">
      <c r="A21" s="23">
        <f t="shared" si="1"/>
        <v>19</v>
      </c>
      <c r="B21" s="69" t="s">
        <v>177</v>
      </c>
      <c r="C21" s="23" t="s">
        <v>79</v>
      </c>
      <c r="D21" s="124">
        <v>36.65</v>
      </c>
      <c r="E21" s="39"/>
      <c r="F21" s="66" t="s">
        <v>92</v>
      </c>
      <c r="G21" s="67">
        <f t="shared" si="0"/>
        <v>0</v>
      </c>
    </row>
    <row r="22" spans="1:7" ht="20.100000000000001" customHeight="1" x14ac:dyDescent="0.3">
      <c r="A22" s="23">
        <f t="shared" si="1"/>
        <v>20</v>
      </c>
      <c r="B22" s="56" t="s">
        <v>178</v>
      </c>
      <c r="C22" s="23" t="s">
        <v>79</v>
      </c>
      <c r="D22" s="124">
        <v>14.62</v>
      </c>
      <c r="E22" s="39"/>
      <c r="F22" s="66" t="s">
        <v>92</v>
      </c>
      <c r="G22" s="67">
        <f t="shared" si="0"/>
        <v>0</v>
      </c>
    </row>
    <row r="23" spans="1:7" ht="20.100000000000001" customHeight="1" x14ac:dyDescent="0.3">
      <c r="A23" s="23">
        <f t="shared" si="1"/>
        <v>21</v>
      </c>
      <c r="B23" s="56" t="s">
        <v>179</v>
      </c>
      <c r="C23" s="23" t="s">
        <v>79</v>
      </c>
      <c r="D23" s="124">
        <v>2.82</v>
      </c>
      <c r="E23" s="66">
        <v>2</v>
      </c>
      <c r="F23" s="39"/>
      <c r="G23" s="67">
        <f t="shared" si="0"/>
        <v>5.64</v>
      </c>
    </row>
    <row r="24" spans="1:7" ht="20.100000000000001" customHeight="1" x14ac:dyDescent="0.3">
      <c r="A24" s="23">
        <f t="shared" si="1"/>
        <v>22</v>
      </c>
      <c r="B24" s="56" t="s">
        <v>180</v>
      </c>
      <c r="C24" s="23" t="s">
        <v>79</v>
      </c>
      <c r="D24" s="124">
        <v>6.37</v>
      </c>
      <c r="E24" s="66">
        <v>2</v>
      </c>
      <c r="F24" s="39"/>
      <c r="G24" s="67">
        <f t="shared" si="0"/>
        <v>12.74</v>
      </c>
    </row>
    <row r="25" spans="1:7" ht="20.100000000000001" customHeight="1" x14ac:dyDescent="0.3">
      <c r="A25" s="23">
        <f t="shared" si="1"/>
        <v>23</v>
      </c>
      <c r="B25" s="56" t="s">
        <v>181</v>
      </c>
      <c r="C25" s="23" t="s">
        <v>79</v>
      </c>
      <c r="D25" s="124">
        <v>9.33</v>
      </c>
      <c r="E25" s="66">
        <v>2</v>
      </c>
      <c r="F25" s="39"/>
      <c r="G25" s="67">
        <f t="shared" si="0"/>
        <v>18.66</v>
      </c>
    </row>
    <row r="26" spans="1:7" ht="20.100000000000001" customHeight="1" x14ac:dyDescent="0.3">
      <c r="A26" s="23">
        <f t="shared" si="1"/>
        <v>24</v>
      </c>
      <c r="B26" s="56" t="s">
        <v>182</v>
      </c>
      <c r="C26" s="23" t="s">
        <v>79</v>
      </c>
      <c r="D26" s="124">
        <v>8.08</v>
      </c>
      <c r="E26" s="66">
        <v>2</v>
      </c>
      <c r="F26" s="39"/>
      <c r="G26" s="67">
        <f t="shared" si="0"/>
        <v>16.16</v>
      </c>
    </row>
    <row r="27" spans="1:7" ht="20.100000000000001" customHeight="1" x14ac:dyDescent="0.3">
      <c r="A27" s="23">
        <f t="shared" si="1"/>
        <v>25</v>
      </c>
      <c r="B27" s="56" t="s">
        <v>183</v>
      </c>
      <c r="C27" s="23" t="s">
        <v>79</v>
      </c>
      <c r="D27" s="124">
        <v>1.43</v>
      </c>
      <c r="E27" s="70">
        <v>3</v>
      </c>
      <c r="F27" s="39"/>
      <c r="G27" s="67">
        <f t="shared" si="0"/>
        <v>4.29</v>
      </c>
    </row>
    <row r="28" spans="1:7" ht="20.100000000000001" customHeight="1" x14ac:dyDescent="0.3">
      <c r="A28" s="23">
        <f t="shared" si="1"/>
        <v>26</v>
      </c>
      <c r="B28" s="56" t="s">
        <v>184</v>
      </c>
      <c r="C28" s="23" t="s">
        <v>79</v>
      </c>
      <c r="D28" s="124">
        <v>27.42</v>
      </c>
      <c r="E28" s="66">
        <v>1</v>
      </c>
      <c r="F28" s="39"/>
      <c r="G28" s="67">
        <f t="shared" si="0"/>
        <v>27.42</v>
      </c>
    </row>
    <row r="29" spans="1:7" ht="20.100000000000001" customHeight="1" x14ac:dyDescent="0.3">
      <c r="A29" s="23">
        <f t="shared" si="1"/>
        <v>27</v>
      </c>
      <c r="B29" s="56" t="s">
        <v>185</v>
      </c>
      <c r="C29" s="23" t="s">
        <v>79</v>
      </c>
      <c r="D29" s="124">
        <v>66.930000000000007</v>
      </c>
      <c r="E29" s="66">
        <v>1</v>
      </c>
      <c r="F29" s="39"/>
      <c r="G29" s="67">
        <f t="shared" si="0"/>
        <v>66.930000000000007</v>
      </c>
    </row>
    <row r="30" spans="1:7" ht="20.100000000000001" customHeight="1" x14ac:dyDescent="0.3">
      <c r="A30" s="23">
        <f t="shared" si="1"/>
        <v>28</v>
      </c>
      <c r="B30" s="56" t="s">
        <v>186</v>
      </c>
      <c r="C30" s="23" t="s">
        <v>74</v>
      </c>
      <c r="D30" s="124">
        <v>2.61</v>
      </c>
      <c r="E30" s="39"/>
      <c r="F30" s="66" t="s">
        <v>92</v>
      </c>
      <c r="G30" s="67">
        <f t="shared" si="0"/>
        <v>0</v>
      </c>
    </row>
    <row r="31" spans="1:7" ht="20.100000000000001" customHeight="1" x14ac:dyDescent="0.3">
      <c r="A31" s="23">
        <f t="shared" si="1"/>
        <v>29</v>
      </c>
      <c r="B31" s="71" t="s">
        <v>187</v>
      </c>
      <c r="C31" s="23" t="s">
        <v>79</v>
      </c>
      <c r="D31" s="124">
        <v>3.43</v>
      </c>
      <c r="E31" s="66">
        <v>6</v>
      </c>
      <c r="F31" s="39"/>
      <c r="G31" s="67">
        <f t="shared" si="0"/>
        <v>20.58</v>
      </c>
    </row>
    <row r="32" spans="1:7" ht="20.100000000000001" customHeight="1" x14ac:dyDescent="0.3">
      <c r="A32" s="23">
        <f t="shared" si="1"/>
        <v>30</v>
      </c>
      <c r="B32" s="56" t="s">
        <v>188</v>
      </c>
      <c r="C32" s="23" t="s">
        <v>156</v>
      </c>
      <c r="D32" s="124">
        <v>87.5</v>
      </c>
      <c r="E32" s="39"/>
      <c r="F32" s="66" t="s">
        <v>92</v>
      </c>
      <c r="G32" s="67">
        <f t="shared" si="0"/>
        <v>0</v>
      </c>
    </row>
    <row r="33" spans="1:7" ht="20.100000000000001" customHeight="1" x14ac:dyDescent="0.3">
      <c r="A33" s="23">
        <f t="shared" si="1"/>
        <v>31</v>
      </c>
      <c r="B33" s="56" t="s">
        <v>189</v>
      </c>
      <c r="C33" s="23" t="s">
        <v>76</v>
      </c>
      <c r="D33" s="124">
        <v>13.29</v>
      </c>
      <c r="E33" s="66">
        <v>6</v>
      </c>
      <c r="F33" s="39"/>
      <c r="G33" s="67">
        <f t="shared" si="0"/>
        <v>79.739999999999995</v>
      </c>
    </row>
    <row r="34" spans="1:7" ht="20.100000000000001" customHeight="1" x14ac:dyDescent="0.3">
      <c r="A34" s="23">
        <f t="shared" si="1"/>
        <v>32</v>
      </c>
      <c r="B34" s="56" t="s">
        <v>190</v>
      </c>
      <c r="C34" s="23" t="s">
        <v>79</v>
      </c>
      <c r="D34" s="124">
        <v>36.17</v>
      </c>
      <c r="E34" s="66">
        <v>1</v>
      </c>
      <c r="F34" s="39"/>
      <c r="G34" s="67">
        <f t="shared" si="0"/>
        <v>36.17</v>
      </c>
    </row>
    <row r="35" spans="1:7" ht="20.100000000000001" customHeight="1" x14ac:dyDescent="0.3">
      <c r="A35" s="23">
        <f t="shared" si="1"/>
        <v>33</v>
      </c>
      <c r="B35" s="56" t="s">
        <v>191</v>
      </c>
      <c r="C35" s="23" t="s">
        <v>76</v>
      </c>
      <c r="D35" s="124">
        <v>2.17</v>
      </c>
      <c r="E35" s="39"/>
      <c r="F35" s="66" t="s">
        <v>92</v>
      </c>
      <c r="G35" s="67">
        <f t="shared" ref="G35:G66" si="2">TRUNC((D35*E35),2)</f>
        <v>0</v>
      </c>
    </row>
    <row r="36" spans="1:7" ht="20.100000000000001" customHeight="1" x14ac:dyDescent="0.3">
      <c r="A36" s="23">
        <f t="shared" si="1"/>
        <v>34</v>
      </c>
      <c r="B36" s="56" t="s">
        <v>192</v>
      </c>
      <c r="C36" s="23" t="s">
        <v>76</v>
      </c>
      <c r="D36" s="124">
        <v>2.3199999999999998</v>
      </c>
      <c r="E36" s="66">
        <v>6</v>
      </c>
      <c r="F36" s="39"/>
      <c r="G36" s="67">
        <f t="shared" si="2"/>
        <v>13.92</v>
      </c>
    </row>
    <row r="37" spans="1:7" ht="20.100000000000001" customHeight="1" x14ac:dyDescent="0.3">
      <c r="A37" s="23">
        <f t="shared" si="1"/>
        <v>35</v>
      </c>
      <c r="B37" s="56" t="s">
        <v>193</v>
      </c>
      <c r="C37" s="23" t="s">
        <v>156</v>
      </c>
      <c r="D37" s="124">
        <v>66.540000000000006</v>
      </c>
      <c r="E37" s="39"/>
      <c r="F37" s="66" t="s">
        <v>92</v>
      </c>
      <c r="G37" s="67">
        <f t="shared" si="2"/>
        <v>0</v>
      </c>
    </row>
    <row r="38" spans="1:7" ht="20.100000000000001" customHeight="1" x14ac:dyDescent="0.3">
      <c r="A38" s="23">
        <f t="shared" si="1"/>
        <v>36</v>
      </c>
      <c r="B38" s="56" t="s">
        <v>194</v>
      </c>
      <c r="C38" s="23" t="s">
        <v>76</v>
      </c>
      <c r="D38" s="124">
        <v>7.83</v>
      </c>
      <c r="E38" s="39"/>
      <c r="F38" s="66" t="s">
        <v>92</v>
      </c>
      <c r="G38" s="67">
        <f t="shared" si="2"/>
        <v>0</v>
      </c>
    </row>
    <row r="39" spans="1:7" ht="20.100000000000001" customHeight="1" x14ac:dyDescent="0.3">
      <c r="A39" s="23">
        <f t="shared" si="1"/>
        <v>37</v>
      </c>
      <c r="B39" s="56" t="s">
        <v>195</v>
      </c>
      <c r="C39" s="23" t="s">
        <v>76</v>
      </c>
      <c r="D39" s="124">
        <v>2.2000000000000002</v>
      </c>
      <c r="E39" s="66">
        <v>6</v>
      </c>
      <c r="F39" s="39"/>
      <c r="G39" s="67">
        <f t="shared" si="2"/>
        <v>13.2</v>
      </c>
    </row>
    <row r="40" spans="1:7" ht="20.100000000000001" customHeight="1" x14ac:dyDescent="0.3">
      <c r="A40" s="23">
        <f t="shared" si="1"/>
        <v>38</v>
      </c>
      <c r="B40" s="56" t="s">
        <v>196</v>
      </c>
      <c r="C40" s="23" t="s">
        <v>76</v>
      </c>
      <c r="D40" s="124">
        <v>4.13</v>
      </c>
      <c r="E40" s="66">
        <v>6</v>
      </c>
      <c r="F40" s="39"/>
      <c r="G40" s="67">
        <f t="shared" si="2"/>
        <v>24.78</v>
      </c>
    </row>
    <row r="41" spans="1:7" ht="20.100000000000001" customHeight="1" x14ac:dyDescent="0.3">
      <c r="A41" s="23">
        <f t="shared" si="1"/>
        <v>39</v>
      </c>
      <c r="B41" s="56" t="s">
        <v>197</v>
      </c>
      <c r="C41" s="23" t="s">
        <v>79</v>
      </c>
      <c r="D41" s="124">
        <v>56.13</v>
      </c>
      <c r="E41" s="39"/>
      <c r="F41" s="66" t="s">
        <v>92</v>
      </c>
      <c r="G41" s="67">
        <f t="shared" si="2"/>
        <v>0</v>
      </c>
    </row>
    <row r="42" spans="1:7" ht="20.100000000000001" customHeight="1" x14ac:dyDescent="0.3">
      <c r="A42" s="23">
        <f t="shared" si="1"/>
        <v>40</v>
      </c>
      <c r="B42" s="56" t="s">
        <v>198</v>
      </c>
      <c r="C42" s="23" t="s">
        <v>79</v>
      </c>
      <c r="D42" s="124">
        <v>22.81</v>
      </c>
      <c r="E42" s="66">
        <v>3</v>
      </c>
      <c r="F42" s="39"/>
      <c r="G42" s="67">
        <f t="shared" si="2"/>
        <v>68.430000000000007</v>
      </c>
    </row>
    <row r="43" spans="1:7" ht="20.100000000000001" customHeight="1" x14ac:dyDescent="0.3">
      <c r="A43" s="23">
        <f t="shared" si="1"/>
        <v>41</v>
      </c>
      <c r="B43" s="56" t="s">
        <v>199</v>
      </c>
      <c r="C43" s="23" t="s">
        <v>79</v>
      </c>
      <c r="D43" s="124">
        <v>26.86</v>
      </c>
      <c r="E43" s="66">
        <v>1</v>
      </c>
      <c r="F43" s="39"/>
      <c r="G43" s="67">
        <f t="shared" si="2"/>
        <v>26.86</v>
      </c>
    </row>
    <row r="44" spans="1:7" ht="20.100000000000001" customHeight="1" x14ac:dyDescent="0.3">
      <c r="A44" s="23">
        <f t="shared" si="1"/>
        <v>42</v>
      </c>
      <c r="B44" s="56" t="s">
        <v>200</v>
      </c>
      <c r="C44" s="23" t="s">
        <v>79</v>
      </c>
      <c r="D44" s="124">
        <v>47.27</v>
      </c>
      <c r="E44" s="66">
        <v>1</v>
      </c>
      <c r="F44" s="39"/>
      <c r="G44" s="67">
        <f t="shared" si="2"/>
        <v>47.27</v>
      </c>
    </row>
    <row r="45" spans="1:7" ht="20.100000000000001" customHeight="1" x14ac:dyDescent="0.3">
      <c r="A45" s="23">
        <f t="shared" si="1"/>
        <v>43</v>
      </c>
      <c r="B45" s="56" t="s">
        <v>201</v>
      </c>
      <c r="C45" s="23" t="s">
        <v>76</v>
      </c>
      <c r="D45" s="124">
        <v>3.38</v>
      </c>
      <c r="E45" s="66">
        <v>3</v>
      </c>
      <c r="F45" s="39"/>
      <c r="G45" s="67">
        <f t="shared" si="2"/>
        <v>10.14</v>
      </c>
    </row>
    <row r="46" spans="1:7" ht="20.100000000000001" customHeight="1" x14ac:dyDescent="0.3">
      <c r="A46" s="23">
        <f t="shared" si="1"/>
        <v>44</v>
      </c>
      <c r="B46" s="56" t="s">
        <v>202</v>
      </c>
      <c r="C46" s="23" t="s">
        <v>203</v>
      </c>
      <c r="D46" s="124">
        <v>7.16</v>
      </c>
      <c r="E46" s="66">
        <v>2</v>
      </c>
      <c r="F46" s="39"/>
      <c r="G46" s="67">
        <f t="shared" si="2"/>
        <v>14.32</v>
      </c>
    </row>
    <row r="47" spans="1:7" ht="20.100000000000001" customHeight="1" x14ac:dyDescent="0.3">
      <c r="A47" s="23">
        <f t="shared" si="1"/>
        <v>45</v>
      </c>
      <c r="B47" s="56" t="s">
        <v>204</v>
      </c>
      <c r="C47" s="23" t="s">
        <v>203</v>
      </c>
      <c r="D47" s="124">
        <v>8.0500000000000007</v>
      </c>
      <c r="E47" s="66">
        <v>2</v>
      </c>
      <c r="F47" s="39"/>
      <c r="G47" s="67">
        <f t="shared" si="2"/>
        <v>16.100000000000001</v>
      </c>
    </row>
    <row r="48" spans="1:7" ht="20.100000000000001" customHeight="1" x14ac:dyDescent="0.3">
      <c r="A48" s="23">
        <f t="shared" si="1"/>
        <v>46</v>
      </c>
      <c r="B48" s="56" t="s">
        <v>205</v>
      </c>
      <c r="C48" s="23" t="s">
        <v>79</v>
      </c>
      <c r="D48" s="124">
        <v>174.03</v>
      </c>
      <c r="E48" s="66"/>
      <c r="F48" s="39"/>
      <c r="G48" s="67">
        <f t="shared" si="2"/>
        <v>0</v>
      </c>
    </row>
    <row r="49" spans="1:7" ht="20.100000000000001" customHeight="1" x14ac:dyDescent="0.3">
      <c r="A49" s="23">
        <f t="shared" si="1"/>
        <v>47</v>
      </c>
      <c r="B49" s="72" t="s">
        <v>206</v>
      </c>
      <c r="C49" s="23" t="s">
        <v>79</v>
      </c>
      <c r="D49" s="124">
        <v>107.75</v>
      </c>
      <c r="E49" s="66">
        <v>1</v>
      </c>
      <c r="F49" s="39"/>
      <c r="G49" s="67">
        <f t="shared" si="2"/>
        <v>107.75</v>
      </c>
    </row>
    <row r="50" spans="1:7" ht="20.100000000000001" customHeight="1" x14ac:dyDescent="0.3">
      <c r="A50" s="23">
        <f t="shared" si="1"/>
        <v>48</v>
      </c>
      <c r="B50" s="73" t="s">
        <v>207</v>
      </c>
      <c r="C50" s="23" t="s">
        <v>79</v>
      </c>
      <c r="D50" s="124">
        <v>54.24</v>
      </c>
      <c r="E50" s="66">
        <v>1</v>
      </c>
      <c r="F50" s="39"/>
      <c r="G50" s="67">
        <f t="shared" si="2"/>
        <v>54.24</v>
      </c>
    </row>
    <row r="51" spans="1:7" ht="20.100000000000001" customHeight="1" x14ac:dyDescent="0.3">
      <c r="A51" s="23">
        <f t="shared" si="1"/>
        <v>49</v>
      </c>
      <c r="B51" s="73" t="s">
        <v>208</v>
      </c>
      <c r="C51" s="23" t="s">
        <v>79</v>
      </c>
      <c r="D51" s="124">
        <v>51.28</v>
      </c>
      <c r="E51" s="66">
        <v>1</v>
      </c>
      <c r="F51" s="39"/>
      <c r="G51" s="67">
        <f t="shared" si="2"/>
        <v>51.28</v>
      </c>
    </row>
    <row r="52" spans="1:7" ht="20.100000000000001" customHeight="1" x14ac:dyDescent="0.3">
      <c r="A52" s="23">
        <f t="shared" si="1"/>
        <v>50</v>
      </c>
      <c r="B52" s="73" t="s">
        <v>209</v>
      </c>
      <c r="C52" s="23" t="s">
        <v>210</v>
      </c>
      <c r="D52" s="124">
        <v>31.63</v>
      </c>
      <c r="E52" s="39"/>
      <c r="F52" s="66" t="s">
        <v>92</v>
      </c>
      <c r="G52" s="67">
        <f t="shared" si="2"/>
        <v>0</v>
      </c>
    </row>
    <row r="53" spans="1:7" ht="20.100000000000001" customHeight="1" x14ac:dyDescent="0.3">
      <c r="A53" s="23">
        <f t="shared" si="1"/>
        <v>51</v>
      </c>
      <c r="B53" s="73" t="s">
        <v>211</v>
      </c>
      <c r="C53" s="23" t="s">
        <v>212</v>
      </c>
      <c r="D53" s="124">
        <v>36.42</v>
      </c>
      <c r="E53" s="39"/>
      <c r="F53" s="66" t="s">
        <v>92</v>
      </c>
      <c r="G53" s="67">
        <f t="shared" si="2"/>
        <v>0</v>
      </c>
    </row>
    <row r="54" spans="1:7" ht="20.100000000000001" customHeight="1" x14ac:dyDescent="0.3">
      <c r="A54" s="23">
        <f t="shared" si="1"/>
        <v>52</v>
      </c>
      <c r="B54" s="73" t="s">
        <v>213</v>
      </c>
      <c r="C54" s="23" t="s">
        <v>79</v>
      </c>
      <c r="D54" s="124">
        <v>10.73</v>
      </c>
      <c r="E54" s="66">
        <v>2</v>
      </c>
      <c r="F54" s="39"/>
      <c r="G54" s="67">
        <f t="shared" si="2"/>
        <v>21.46</v>
      </c>
    </row>
    <row r="55" spans="1:7" ht="20.100000000000001" customHeight="1" x14ac:dyDescent="0.3">
      <c r="A55" s="23">
        <f t="shared" si="1"/>
        <v>53</v>
      </c>
      <c r="B55" s="73" t="s">
        <v>214</v>
      </c>
      <c r="C55" s="23" t="s">
        <v>79</v>
      </c>
      <c r="D55" s="124">
        <v>8.2100000000000009</v>
      </c>
      <c r="E55" s="66">
        <v>6</v>
      </c>
      <c r="F55" s="39"/>
      <c r="G55" s="67">
        <f t="shared" si="2"/>
        <v>49.26</v>
      </c>
    </row>
    <row r="56" spans="1:7" ht="20.100000000000001" customHeight="1" x14ac:dyDescent="0.3">
      <c r="A56" s="23">
        <f t="shared" si="1"/>
        <v>54</v>
      </c>
      <c r="B56" s="73" t="s">
        <v>215</v>
      </c>
      <c r="C56" s="23" t="s">
        <v>79</v>
      </c>
      <c r="D56" s="124">
        <v>4.83</v>
      </c>
      <c r="E56" s="66">
        <v>6</v>
      </c>
      <c r="F56" s="39"/>
      <c r="G56" s="67">
        <f t="shared" si="2"/>
        <v>28.98</v>
      </c>
    </row>
    <row r="57" spans="1:7" ht="20.100000000000001" customHeight="1" x14ac:dyDescent="0.3">
      <c r="A57" s="23">
        <f t="shared" si="1"/>
        <v>55</v>
      </c>
      <c r="B57" s="73" t="s">
        <v>216</v>
      </c>
      <c r="C57" s="23" t="s">
        <v>217</v>
      </c>
      <c r="D57" s="124">
        <v>40.5</v>
      </c>
      <c r="E57" s="66"/>
      <c r="F57" s="39" t="s">
        <v>92</v>
      </c>
      <c r="G57" s="67">
        <f t="shared" si="2"/>
        <v>0</v>
      </c>
    </row>
    <row r="58" spans="1:7" ht="20.100000000000001" customHeight="1" x14ac:dyDescent="0.3">
      <c r="A58" s="23">
        <f t="shared" si="1"/>
        <v>56</v>
      </c>
      <c r="B58" s="73" t="s">
        <v>218</v>
      </c>
      <c r="C58" s="23" t="s">
        <v>74</v>
      </c>
      <c r="D58" s="124">
        <v>21.12</v>
      </c>
      <c r="E58" s="70">
        <v>2</v>
      </c>
      <c r="F58" s="39"/>
      <c r="G58" s="67">
        <f t="shared" si="2"/>
        <v>42.24</v>
      </c>
    </row>
    <row r="59" spans="1:7" ht="20.100000000000001" customHeight="1" x14ac:dyDescent="0.3">
      <c r="A59" s="23">
        <f t="shared" si="1"/>
        <v>57</v>
      </c>
      <c r="B59" s="73" t="s">
        <v>219</v>
      </c>
      <c r="C59" s="23" t="s">
        <v>86</v>
      </c>
      <c r="D59" s="124">
        <v>12.78</v>
      </c>
      <c r="E59" s="70">
        <v>2</v>
      </c>
      <c r="F59" s="39"/>
      <c r="G59" s="67">
        <f t="shared" si="2"/>
        <v>25.56</v>
      </c>
    </row>
    <row r="60" spans="1:7" ht="20.100000000000001" customHeight="1" x14ac:dyDescent="0.3">
      <c r="A60" s="23">
        <f t="shared" si="1"/>
        <v>58</v>
      </c>
      <c r="B60" s="73" t="s">
        <v>220</v>
      </c>
      <c r="C60" s="23" t="s">
        <v>221</v>
      </c>
      <c r="D60" s="124">
        <v>8.83</v>
      </c>
      <c r="E60" s="66">
        <v>6</v>
      </c>
      <c r="F60" s="39"/>
      <c r="G60" s="67">
        <f t="shared" si="2"/>
        <v>52.98</v>
      </c>
    </row>
    <row r="61" spans="1:7" ht="20.100000000000001" customHeight="1" x14ac:dyDescent="0.3">
      <c r="A61" s="23">
        <f t="shared" si="1"/>
        <v>59</v>
      </c>
      <c r="B61" s="73" t="s">
        <v>222</v>
      </c>
      <c r="C61" s="23" t="s">
        <v>223</v>
      </c>
      <c r="D61" s="124">
        <v>2.5099999999999998</v>
      </c>
      <c r="E61" s="66">
        <v>12</v>
      </c>
      <c r="F61" s="39"/>
      <c r="G61" s="67">
        <f t="shared" si="2"/>
        <v>30.12</v>
      </c>
    </row>
    <row r="62" spans="1:7" ht="20.100000000000001" customHeight="1" x14ac:dyDescent="0.3">
      <c r="A62" s="23">
        <f t="shared" si="1"/>
        <v>60</v>
      </c>
      <c r="B62" s="73" t="s">
        <v>224</v>
      </c>
      <c r="C62" s="23" t="s">
        <v>79</v>
      </c>
      <c r="D62" s="124">
        <v>30.6</v>
      </c>
      <c r="E62" s="39"/>
      <c r="F62" s="66" t="s">
        <v>92</v>
      </c>
      <c r="G62" s="67">
        <f t="shared" si="2"/>
        <v>0</v>
      </c>
    </row>
    <row r="63" spans="1:7" ht="20.100000000000001" customHeight="1" x14ac:dyDescent="0.3">
      <c r="A63" s="23">
        <f t="shared" si="1"/>
        <v>61</v>
      </c>
      <c r="B63" s="73" t="s">
        <v>225</v>
      </c>
      <c r="C63" s="23" t="s">
        <v>79</v>
      </c>
      <c r="D63" s="124">
        <v>36.11</v>
      </c>
      <c r="E63" s="39"/>
      <c r="F63" s="66" t="s">
        <v>92</v>
      </c>
      <c r="G63" s="67">
        <f t="shared" si="2"/>
        <v>0</v>
      </c>
    </row>
    <row r="64" spans="1:7" ht="20.100000000000001" customHeight="1" x14ac:dyDescent="0.3">
      <c r="A64" s="23">
        <f t="shared" si="1"/>
        <v>62</v>
      </c>
      <c r="B64" s="73" t="s">
        <v>226</v>
      </c>
      <c r="C64" s="23" t="s">
        <v>227</v>
      </c>
      <c r="D64" s="124">
        <v>50.15</v>
      </c>
      <c r="E64" s="39"/>
      <c r="F64" s="66" t="s">
        <v>92</v>
      </c>
      <c r="G64" s="67">
        <f t="shared" si="2"/>
        <v>0</v>
      </c>
    </row>
    <row r="65" spans="1:7" ht="20.100000000000001" customHeight="1" x14ac:dyDescent="0.3">
      <c r="A65" s="23">
        <f t="shared" si="1"/>
        <v>63</v>
      </c>
      <c r="B65" s="73" t="s">
        <v>228</v>
      </c>
      <c r="C65" s="23" t="s">
        <v>79</v>
      </c>
      <c r="D65" s="124">
        <v>12.98</v>
      </c>
      <c r="E65" s="39"/>
      <c r="F65" s="66" t="s">
        <v>92</v>
      </c>
      <c r="G65" s="67">
        <f t="shared" si="2"/>
        <v>0</v>
      </c>
    </row>
    <row r="66" spans="1:7" ht="20.100000000000001" customHeight="1" x14ac:dyDescent="0.3">
      <c r="A66" s="23">
        <f t="shared" si="1"/>
        <v>64</v>
      </c>
      <c r="B66" s="73" t="s">
        <v>229</v>
      </c>
      <c r="C66" s="23" t="s">
        <v>79</v>
      </c>
      <c r="D66" s="124">
        <v>16.07</v>
      </c>
      <c r="E66" s="66">
        <v>2</v>
      </c>
      <c r="F66" s="39"/>
      <c r="G66" s="67">
        <f t="shared" si="2"/>
        <v>32.14</v>
      </c>
    </row>
    <row r="67" spans="1:7" ht="20.100000000000001" customHeight="1" x14ac:dyDescent="0.3">
      <c r="A67" s="23">
        <f t="shared" si="1"/>
        <v>65</v>
      </c>
      <c r="B67" s="73" t="s">
        <v>230</v>
      </c>
      <c r="C67" s="23" t="s">
        <v>79</v>
      </c>
      <c r="D67" s="124">
        <v>21.05</v>
      </c>
      <c r="E67" s="66">
        <v>2</v>
      </c>
      <c r="F67" s="39"/>
      <c r="G67" s="67">
        <f t="shared" ref="G67:G86" si="3">TRUNC((D67*E67),2)</f>
        <v>42.1</v>
      </c>
    </row>
    <row r="68" spans="1:7" ht="20.100000000000001" customHeight="1" x14ac:dyDescent="0.3">
      <c r="A68" s="23">
        <f t="shared" ref="A68:A86" si="4">ROW()-2</f>
        <v>66</v>
      </c>
      <c r="B68" s="73" t="s">
        <v>231</v>
      </c>
      <c r="C68" s="23" t="s">
        <v>79</v>
      </c>
      <c r="D68" s="124">
        <v>29</v>
      </c>
      <c r="E68" s="66">
        <v>2</v>
      </c>
      <c r="F68" s="39"/>
      <c r="G68" s="67">
        <f t="shared" si="3"/>
        <v>58</v>
      </c>
    </row>
    <row r="69" spans="1:7" ht="20.100000000000001" customHeight="1" x14ac:dyDescent="0.3">
      <c r="A69" s="23">
        <f t="shared" si="4"/>
        <v>67</v>
      </c>
      <c r="B69" s="73" t="s">
        <v>232</v>
      </c>
      <c r="C69" s="23" t="s">
        <v>79</v>
      </c>
      <c r="D69" s="124">
        <v>14.6</v>
      </c>
      <c r="E69" s="66">
        <v>1</v>
      </c>
      <c r="F69" s="39"/>
      <c r="G69" s="67">
        <f t="shared" si="3"/>
        <v>14.6</v>
      </c>
    </row>
    <row r="70" spans="1:7" ht="20.100000000000001" customHeight="1" x14ac:dyDescent="0.3">
      <c r="A70" s="23">
        <f t="shared" si="4"/>
        <v>68</v>
      </c>
      <c r="B70" s="73" t="s">
        <v>233</v>
      </c>
      <c r="C70" s="23" t="s">
        <v>79</v>
      </c>
      <c r="D70" s="124">
        <v>15.13</v>
      </c>
      <c r="E70" s="66"/>
      <c r="F70" s="39" t="s">
        <v>92</v>
      </c>
      <c r="G70" s="67">
        <f t="shared" si="3"/>
        <v>0</v>
      </c>
    </row>
    <row r="71" spans="1:7" ht="20.100000000000001" customHeight="1" x14ac:dyDescent="0.3">
      <c r="A71" s="23">
        <f t="shared" si="4"/>
        <v>69</v>
      </c>
      <c r="B71" s="73" t="s">
        <v>234</v>
      </c>
      <c r="C71" s="23" t="s">
        <v>235</v>
      </c>
      <c r="D71" s="124">
        <v>10.119999999999999</v>
      </c>
      <c r="E71" s="70">
        <v>3</v>
      </c>
      <c r="F71" s="39"/>
      <c r="G71" s="67">
        <f t="shared" si="3"/>
        <v>30.36</v>
      </c>
    </row>
    <row r="72" spans="1:7" ht="20.100000000000001" customHeight="1" x14ac:dyDescent="0.3">
      <c r="A72" s="23">
        <f t="shared" si="4"/>
        <v>70</v>
      </c>
      <c r="B72" s="73" t="s">
        <v>236</v>
      </c>
      <c r="C72" s="23" t="s">
        <v>156</v>
      </c>
      <c r="D72" s="124">
        <v>16.329999999999998</v>
      </c>
      <c r="E72" s="66">
        <v>1</v>
      </c>
      <c r="F72" s="39"/>
      <c r="G72" s="67">
        <f t="shared" si="3"/>
        <v>16.329999999999998</v>
      </c>
    </row>
    <row r="73" spans="1:7" ht="20.100000000000001" customHeight="1" x14ac:dyDescent="0.3">
      <c r="A73" s="23">
        <f t="shared" si="4"/>
        <v>71</v>
      </c>
      <c r="B73" s="73" t="s">
        <v>237</v>
      </c>
      <c r="C73" s="23" t="s">
        <v>238</v>
      </c>
      <c r="D73" s="124">
        <v>12.25</v>
      </c>
      <c r="E73" s="70">
        <v>2</v>
      </c>
      <c r="F73" s="39"/>
      <c r="G73" s="67">
        <f t="shared" si="3"/>
        <v>24.5</v>
      </c>
    </row>
    <row r="74" spans="1:7" ht="20.100000000000001" customHeight="1" x14ac:dyDescent="0.3">
      <c r="A74" s="23">
        <f t="shared" si="4"/>
        <v>72</v>
      </c>
      <c r="B74" s="73" t="s">
        <v>239</v>
      </c>
      <c r="C74" s="23" t="s">
        <v>156</v>
      </c>
      <c r="D74" s="124">
        <v>15.66</v>
      </c>
      <c r="E74" s="66">
        <v>2</v>
      </c>
      <c r="F74" s="39"/>
      <c r="G74" s="67">
        <f t="shared" si="3"/>
        <v>31.32</v>
      </c>
    </row>
    <row r="75" spans="1:7" ht="20.100000000000001" customHeight="1" x14ac:dyDescent="0.3">
      <c r="A75" s="23">
        <f t="shared" si="4"/>
        <v>73</v>
      </c>
      <c r="B75" s="73" t="s">
        <v>240</v>
      </c>
      <c r="C75" s="23" t="s">
        <v>241</v>
      </c>
      <c r="D75" s="124">
        <v>11.75</v>
      </c>
      <c r="E75" s="70">
        <v>6</v>
      </c>
      <c r="F75" s="39"/>
      <c r="G75" s="67">
        <f t="shared" si="3"/>
        <v>70.5</v>
      </c>
    </row>
    <row r="76" spans="1:7" ht="20.100000000000001" customHeight="1" x14ac:dyDescent="0.3">
      <c r="A76" s="23">
        <f t="shared" si="4"/>
        <v>74</v>
      </c>
      <c r="B76" s="73" t="s">
        <v>242</v>
      </c>
      <c r="C76" s="23" t="s">
        <v>241</v>
      </c>
      <c r="D76" s="124">
        <v>13.13</v>
      </c>
      <c r="E76" s="39"/>
      <c r="F76" s="66" t="s">
        <v>92</v>
      </c>
      <c r="G76" s="67">
        <f t="shared" si="3"/>
        <v>0</v>
      </c>
    </row>
    <row r="77" spans="1:7" ht="20.100000000000001" customHeight="1" x14ac:dyDescent="0.3">
      <c r="A77" s="23">
        <f t="shared" si="4"/>
        <v>75</v>
      </c>
      <c r="B77" s="73" t="s">
        <v>243</v>
      </c>
      <c r="C77" s="23" t="s">
        <v>241</v>
      </c>
      <c r="D77" s="124">
        <v>16.66</v>
      </c>
      <c r="E77" s="70">
        <v>6</v>
      </c>
      <c r="F77" s="39"/>
      <c r="G77" s="67">
        <f t="shared" si="3"/>
        <v>99.96</v>
      </c>
    </row>
    <row r="78" spans="1:7" ht="20.100000000000001" customHeight="1" x14ac:dyDescent="0.3">
      <c r="A78" s="23">
        <f t="shared" si="4"/>
        <v>76</v>
      </c>
      <c r="B78" s="73" t="s">
        <v>244</v>
      </c>
      <c r="C78" s="23" t="s">
        <v>79</v>
      </c>
      <c r="D78" s="124">
        <v>38.83</v>
      </c>
      <c r="E78" s="39"/>
      <c r="F78" s="66" t="s">
        <v>92</v>
      </c>
      <c r="G78" s="67">
        <f t="shared" si="3"/>
        <v>0</v>
      </c>
    </row>
    <row r="79" spans="1:7" ht="20.100000000000001" customHeight="1" x14ac:dyDescent="0.3">
      <c r="A79" s="23">
        <f t="shared" si="4"/>
        <v>77</v>
      </c>
      <c r="B79" s="73" t="s">
        <v>245</v>
      </c>
      <c r="C79" s="23" t="s">
        <v>246</v>
      </c>
      <c r="D79" s="124">
        <v>5.95</v>
      </c>
      <c r="E79" s="39"/>
      <c r="F79" s="66" t="s">
        <v>92</v>
      </c>
      <c r="G79" s="67">
        <f t="shared" si="3"/>
        <v>0</v>
      </c>
    </row>
    <row r="80" spans="1:7" ht="20.100000000000001" customHeight="1" x14ac:dyDescent="0.3">
      <c r="A80" s="23">
        <f t="shared" si="4"/>
        <v>78</v>
      </c>
      <c r="B80" s="73" t="s">
        <v>247</v>
      </c>
      <c r="C80" s="23" t="s">
        <v>248</v>
      </c>
      <c r="D80" s="124">
        <v>17.010000000000002</v>
      </c>
      <c r="E80" s="39"/>
      <c r="F80" s="66" t="s">
        <v>92</v>
      </c>
      <c r="G80" s="67">
        <f t="shared" si="3"/>
        <v>0</v>
      </c>
    </row>
    <row r="81" spans="1:7" ht="20.100000000000001" customHeight="1" x14ac:dyDescent="0.3">
      <c r="A81" s="23">
        <f t="shared" si="4"/>
        <v>79</v>
      </c>
      <c r="B81" s="74" t="s">
        <v>249</v>
      </c>
      <c r="C81" s="23" t="s">
        <v>79</v>
      </c>
      <c r="D81" s="124">
        <v>19.37</v>
      </c>
      <c r="E81" s="66">
        <v>2</v>
      </c>
      <c r="F81" s="39"/>
      <c r="G81" s="67">
        <f t="shared" si="3"/>
        <v>38.74</v>
      </c>
    </row>
    <row r="82" spans="1:7" ht="20.100000000000001" customHeight="1" x14ac:dyDescent="0.3">
      <c r="A82" s="23">
        <f t="shared" si="4"/>
        <v>80</v>
      </c>
      <c r="B82" s="73" t="s">
        <v>250</v>
      </c>
      <c r="C82" s="23" t="s">
        <v>79</v>
      </c>
      <c r="D82" s="124">
        <v>21.16</v>
      </c>
      <c r="E82" s="66">
        <v>2</v>
      </c>
      <c r="F82" s="39"/>
      <c r="G82" s="67">
        <f t="shared" si="3"/>
        <v>42.32</v>
      </c>
    </row>
    <row r="83" spans="1:7" ht="20.100000000000001" customHeight="1" x14ac:dyDescent="0.3">
      <c r="A83" s="23">
        <f t="shared" si="4"/>
        <v>81</v>
      </c>
      <c r="B83" s="73" t="s">
        <v>251</v>
      </c>
      <c r="C83" s="23" t="s">
        <v>79</v>
      </c>
      <c r="D83" s="124">
        <v>30.73</v>
      </c>
      <c r="E83" s="66"/>
      <c r="F83" s="39" t="s">
        <v>92</v>
      </c>
      <c r="G83" s="67">
        <f t="shared" si="3"/>
        <v>0</v>
      </c>
    </row>
    <row r="84" spans="1:7" ht="20.100000000000001" customHeight="1" x14ac:dyDescent="0.3">
      <c r="A84" s="23">
        <f t="shared" si="4"/>
        <v>82</v>
      </c>
      <c r="B84" s="73" t="s">
        <v>252</v>
      </c>
      <c r="C84" s="23" t="s">
        <v>79</v>
      </c>
      <c r="D84" s="124">
        <v>16.57</v>
      </c>
      <c r="E84" s="66">
        <v>1</v>
      </c>
      <c r="F84" s="39"/>
      <c r="G84" s="67">
        <f t="shared" si="3"/>
        <v>16.57</v>
      </c>
    </row>
    <row r="85" spans="1:7" ht="20.100000000000001" customHeight="1" x14ac:dyDescent="0.3">
      <c r="A85" s="23">
        <f t="shared" si="4"/>
        <v>83</v>
      </c>
      <c r="B85" s="73" t="s">
        <v>253</v>
      </c>
      <c r="C85" s="23" t="s">
        <v>79</v>
      </c>
      <c r="D85" s="124">
        <v>18.7</v>
      </c>
      <c r="E85" s="66"/>
      <c r="F85" s="39" t="s">
        <v>92</v>
      </c>
      <c r="G85" s="67">
        <f t="shared" si="3"/>
        <v>0</v>
      </c>
    </row>
    <row r="86" spans="1:7" ht="20.100000000000001" customHeight="1" x14ac:dyDescent="0.3">
      <c r="A86" s="23">
        <f t="shared" si="4"/>
        <v>84</v>
      </c>
      <c r="B86" s="73" t="s">
        <v>254</v>
      </c>
      <c r="C86" s="23" t="s">
        <v>79</v>
      </c>
      <c r="D86" s="124">
        <v>8.32</v>
      </c>
      <c r="E86" s="66">
        <v>2</v>
      </c>
      <c r="F86" s="39"/>
      <c r="G86" s="67">
        <f t="shared" si="3"/>
        <v>16.64</v>
      </c>
    </row>
    <row r="87" spans="1:7" ht="20.100000000000001" customHeight="1" thickTop="1" thickBot="1" x14ac:dyDescent="0.35">
      <c r="A87" s="23"/>
      <c r="B87" s="23"/>
      <c r="C87" s="23"/>
      <c r="D87" s="67"/>
      <c r="E87" s="23"/>
      <c r="F87" s="23"/>
      <c r="G87" s="67"/>
    </row>
    <row r="88" spans="1:7" ht="20.100000000000001" customHeight="1" thickTop="1" thickBot="1" x14ac:dyDescent="0.35">
      <c r="A88" s="23"/>
      <c r="B88" s="23"/>
      <c r="C88" s="23"/>
      <c r="D88" s="67"/>
      <c r="E88" s="23"/>
      <c r="F88" s="67"/>
      <c r="G88" s="67"/>
    </row>
    <row r="89" spans="1:7" ht="20.100000000000001" customHeight="1" thickTop="1" thickBot="1" x14ac:dyDescent="0.35">
      <c r="A89" s="75"/>
      <c r="B89" s="73"/>
      <c r="C89" s="23"/>
      <c r="D89" s="67">
        <f>TRUNC(SUM(D3:D86),2)</f>
        <v>2064.12</v>
      </c>
      <c r="E89" s="23"/>
      <c r="F89" s="67"/>
      <c r="G89" s="49">
        <f>TRUNC(SUM(G3:G86),2)</f>
        <v>2005.88</v>
      </c>
    </row>
    <row r="90" spans="1:7" ht="20.100000000000001" customHeight="1" thickTop="1" thickBot="1" x14ac:dyDescent="0.35">
      <c r="A90" s="51"/>
      <c r="B90" s="51"/>
      <c r="C90" s="51"/>
      <c r="D90" s="51"/>
      <c r="E90" s="51"/>
      <c r="F90" s="51"/>
      <c r="G90" s="51"/>
    </row>
    <row r="91" spans="1:7" ht="20.100000000000001" customHeight="1" thickTop="1" thickBot="1" x14ac:dyDescent="0.35">
      <c r="A91" s="51"/>
      <c r="B91" s="51"/>
      <c r="C91" s="51"/>
      <c r="D91" s="193" t="s">
        <v>88</v>
      </c>
      <c r="E91" s="194"/>
      <c r="F91" s="195">
        <f>TRUNC((G89/12),2)</f>
        <v>167.15</v>
      </c>
      <c r="G91" s="196"/>
    </row>
    <row r="92" spans="1:7" ht="15" thickTop="1" x14ac:dyDescent="0.3">
      <c r="A92" s="52"/>
      <c r="B92" s="52"/>
      <c r="C92" s="52"/>
      <c r="D92" s="52"/>
      <c r="E92" s="52"/>
      <c r="F92" s="52"/>
      <c r="G92" s="52"/>
    </row>
    <row r="93" spans="1:7" x14ac:dyDescent="0.3">
      <c r="A93" s="52"/>
      <c r="B93" s="52"/>
      <c r="C93" s="52"/>
      <c r="D93" s="52"/>
      <c r="E93" s="52"/>
      <c r="F93" s="52"/>
      <c r="G93" s="52"/>
    </row>
    <row r="94" spans="1:7" x14ac:dyDescent="0.3">
      <c r="A94" s="52"/>
      <c r="B94" s="52"/>
      <c r="C94" s="52"/>
      <c r="D94" s="52"/>
      <c r="E94" s="52"/>
      <c r="F94" s="52"/>
      <c r="G94" s="52"/>
    </row>
    <row r="95" spans="1:7" x14ac:dyDescent="0.3">
      <c r="A95" s="52"/>
      <c r="B95" s="52"/>
      <c r="C95" s="52"/>
      <c r="D95" s="52"/>
      <c r="E95" s="52"/>
      <c r="F95" s="52"/>
      <c r="G95" s="52"/>
    </row>
    <row r="96" spans="1:7" x14ac:dyDescent="0.3">
      <c r="A96" s="8"/>
      <c r="B96" s="8"/>
      <c r="C96" s="8"/>
      <c r="D96" s="8"/>
      <c r="E96" s="8"/>
      <c r="F96" s="8"/>
      <c r="G96" s="8"/>
    </row>
    <row r="97" spans="1:7" x14ac:dyDescent="0.3">
      <c r="A97" s="8"/>
      <c r="B97" s="8"/>
      <c r="C97" s="8"/>
      <c r="D97" s="8"/>
      <c r="E97" s="8"/>
      <c r="F97" s="8"/>
      <c r="G97" s="8"/>
    </row>
    <row r="98" spans="1:7" x14ac:dyDescent="0.3">
      <c r="A98" s="8"/>
      <c r="B98" s="8"/>
      <c r="C98" s="8"/>
      <c r="D98" s="8"/>
      <c r="E98" s="8"/>
      <c r="F98" s="8"/>
      <c r="G98" s="8"/>
    </row>
    <row r="99" spans="1:7" x14ac:dyDescent="0.3">
      <c r="A99" s="8"/>
      <c r="B99" s="8"/>
      <c r="C99" s="8"/>
      <c r="D99" s="8"/>
      <c r="E99" s="8"/>
      <c r="F99" s="8"/>
      <c r="G99" s="8"/>
    </row>
    <row r="100" spans="1:7" x14ac:dyDescent="0.3">
      <c r="A100" s="8"/>
      <c r="B100" s="8"/>
      <c r="C100" s="8"/>
      <c r="D100" s="8"/>
      <c r="E100" s="8"/>
      <c r="F100" s="8"/>
      <c r="G100" s="8"/>
    </row>
    <row r="101" spans="1:7" x14ac:dyDescent="0.3">
      <c r="A101" s="8"/>
      <c r="B101" s="8"/>
      <c r="C101" s="8"/>
      <c r="D101" s="8"/>
      <c r="E101" s="8"/>
      <c r="F101" s="8"/>
      <c r="G101" s="8"/>
    </row>
    <row r="102" spans="1:7" x14ac:dyDescent="0.3">
      <c r="A102" s="8"/>
      <c r="B102" s="8"/>
      <c r="C102" s="8"/>
      <c r="D102" s="8"/>
      <c r="E102" s="8"/>
      <c r="F102" s="8"/>
      <c r="G102" s="8"/>
    </row>
    <row r="103" spans="1:7" x14ac:dyDescent="0.3">
      <c r="A103" s="8"/>
      <c r="B103" s="8"/>
      <c r="C103" s="8"/>
      <c r="D103" s="8"/>
      <c r="E103" s="8"/>
      <c r="F103" s="8"/>
      <c r="G103" s="8"/>
    </row>
    <row r="104" spans="1:7" x14ac:dyDescent="0.3">
      <c r="A104" s="8"/>
      <c r="B104" s="8"/>
      <c r="C104" s="8"/>
      <c r="D104" s="8"/>
      <c r="E104" s="8"/>
      <c r="F104" s="8"/>
      <c r="G104" s="8"/>
    </row>
    <row r="105" spans="1:7" x14ac:dyDescent="0.3">
      <c r="A105" s="8"/>
      <c r="B105" s="8"/>
      <c r="C105" s="8"/>
      <c r="D105" s="8"/>
      <c r="E105" s="8"/>
      <c r="F105" s="8"/>
      <c r="G105" s="8"/>
    </row>
  </sheetData>
  <sheetProtection sheet="1" objects="1" scenarios="1"/>
  <protectedRanges>
    <protectedRange sqref="D3:D86" name="Intervalo1"/>
  </protectedRanges>
  <mergeCells count="3">
    <mergeCell ref="A1:G1"/>
    <mergeCell ref="D91:E91"/>
    <mergeCell ref="F91:G9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EC7F58-CD6B-4E5B-9E4A-C62F23635BB4}">
  <dimension ref="A1:I39"/>
  <sheetViews>
    <sheetView zoomScale="90" zoomScaleNormal="90" workbookViewId="0">
      <selection activeCell="F5" sqref="F5"/>
    </sheetView>
  </sheetViews>
  <sheetFormatPr defaultRowHeight="14.4" x14ac:dyDescent="0.3"/>
  <cols>
    <col min="2" max="2" width="65.109375" customWidth="1"/>
    <col min="3" max="3" width="15.44140625" customWidth="1"/>
    <col min="4" max="4" width="18.33203125" customWidth="1"/>
    <col min="5" max="5" width="16.33203125" customWidth="1"/>
    <col min="6" max="6" width="15.33203125" customWidth="1"/>
    <col min="7" max="7" width="19.88671875" customWidth="1"/>
    <col min="8" max="8" width="14" customWidth="1"/>
    <col min="9" max="9" width="24.109375" customWidth="1"/>
  </cols>
  <sheetData>
    <row r="1" spans="1:9" x14ac:dyDescent="0.3">
      <c r="A1" s="179" t="s">
        <v>255</v>
      </c>
      <c r="B1" s="180"/>
      <c r="C1" s="180"/>
      <c r="D1" s="180"/>
      <c r="E1" s="180"/>
      <c r="F1" s="180"/>
      <c r="G1" s="180"/>
      <c r="H1" s="180"/>
      <c r="I1" s="181"/>
    </row>
    <row r="2" spans="1:9" x14ac:dyDescent="0.3">
      <c r="A2" s="179" t="s">
        <v>256</v>
      </c>
      <c r="B2" s="180"/>
      <c r="C2" s="180"/>
      <c r="D2" s="180"/>
      <c r="E2" s="180"/>
      <c r="F2" s="180"/>
      <c r="G2" s="180"/>
      <c r="H2" s="180"/>
      <c r="I2" s="181"/>
    </row>
    <row r="3" spans="1:9" ht="53.25" customHeight="1" x14ac:dyDescent="0.3">
      <c r="A3" s="41" t="s">
        <v>1</v>
      </c>
      <c r="B3" s="41" t="s">
        <v>257</v>
      </c>
      <c r="C3" s="41" t="s">
        <v>258</v>
      </c>
      <c r="D3" s="41" t="s">
        <v>259</v>
      </c>
      <c r="E3" s="41" t="s">
        <v>260</v>
      </c>
      <c r="F3" s="41" t="s">
        <v>261</v>
      </c>
      <c r="G3" s="41" t="s">
        <v>262</v>
      </c>
      <c r="H3" s="41" t="s">
        <v>263</v>
      </c>
      <c r="I3" s="41" t="s">
        <v>264</v>
      </c>
    </row>
    <row r="4" spans="1:9" ht="35.25" customHeight="1" x14ac:dyDescent="0.3">
      <c r="A4" s="20">
        <v>1</v>
      </c>
      <c r="B4" s="76" t="s">
        <v>265</v>
      </c>
      <c r="C4" s="197">
        <v>1</v>
      </c>
      <c r="D4" s="20">
        <v>2</v>
      </c>
      <c r="E4" s="20">
        <v>2</v>
      </c>
      <c r="F4" s="125">
        <v>92.3</v>
      </c>
      <c r="G4" s="77">
        <f t="shared" ref="G4:G9" si="0">D4*E4*F4</f>
        <v>369.2</v>
      </c>
      <c r="H4" s="77">
        <f t="shared" ref="H4:H9" si="1">TRUNC(($C$4*G4),2)</f>
        <v>369.2</v>
      </c>
      <c r="I4" s="77">
        <f t="shared" ref="I4:I9" si="2">TRUNC((H4/12),2)</f>
        <v>30.76</v>
      </c>
    </row>
    <row r="5" spans="1:9" ht="31.5" customHeight="1" x14ac:dyDescent="0.3">
      <c r="A5" s="20">
        <v>2</v>
      </c>
      <c r="B5" s="76" t="s">
        <v>266</v>
      </c>
      <c r="C5" s="198"/>
      <c r="D5" s="20">
        <v>4</v>
      </c>
      <c r="E5" s="20">
        <v>2</v>
      </c>
      <c r="F5" s="125">
        <v>79.319999999999993</v>
      </c>
      <c r="G5" s="77">
        <f t="shared" si="0"/>
        <v>634.55999999999995</v>
      </c>
      <c r="H5" s="77">
        <f t="shared" si="1"/>
        <v>634.55999999999995</v>
      </c>
      <c r="I5" s="77">
        <f t="shared" si="2"/>
        <v>52.88</v>
      </c>
    </row>
    <row r="6" spans="1:9" ht="19.5" customHeight="1" x14ac:dyDescent="0.3">
      <c r="A6" s="20">
        <v>3</v>
      </c>
      <c r="B6" s="76" t="s">
        <v>267</v>
      </c>
      <c r="C6" s="198"/>
      <c r="D6" s="20">
        <v>4</v>
      </c>
      <c r="E6" s="20">
        <v>2</v>
      </c>
      <c r="F6" s="125">
        <v>21.25</v>
      </c>
      <c r="G6" s="77">
        <f t="shared" si="0"/>
        <v>170</v>
      </c>
      <c r="H6" s="77">
        <f t="shared" si="1"/>
        <v>170</v>
      </c>
      <c r="I6" s="77">
        <f t="shared" si="2"/>
        <v>14.16</v>
      </c>
    </row>
    <row r="7" spans="1:9" x14ac:dyDescent="0.3">
      <c r="A7" s="20">
        <v>4</v>
      </c>
      <c r="B7" s="78" t="s">
        <v>268</v>
      </c>
      <c r="C7" s="198"/>
      <c r="D7" s="20">
        <v>2</v>
      </c>
      <c r="E7" s="20">
        <v>2</v>
      </c>
      <c r="F7" s="125">
        <v>100.79</v>
      </c>
      <c r="G7" s="77">
        <f t="shared" si="0"/>
        <v>403.16</v>
      </c>
      <c r="H7" s="77">
        <f t="shared" si="1"/>
        <v>403.16</v>
      </c>
      <c r="I7" s="77">
        <f t="shared" si="2"/>
        <v>33.590000000000003</v>
      </c>
    </row>
    <row r="8" spans="1:9" x14ac:dyDescent="0.3">
      <c r="A8" s="20">
        <v>5</v>
      </c>
      <c r="B8" s="78" t="s">
        <v>269</v>
      </c>
      <c r="C8" s="198"/>
      <c r="D8" s="20">
        <v>2</v>
      </c>
      <c r="E8" s="20">
        <v>2</v>
      </c>
      <c r="F8" s="125">
        <v>75.260000000000005</v>
      </c>
      <c r="G8" s="77">
        <f t="shared" si="0"/>
        <v>301.04000000000002</v>
      </c>
      <c r="H8" s="77">
        <f t="shared" si="1"/>
        <v>301.04000000000002</v>
      </c>
      <c r="I8" s="77">
        <f t="shared" si="2"/>
        <v>25.08</v>
      </c>
    </row>
    <row r="9" spans="1:9" x14ac:dyDescent="0.3">
      <c r="A9" s="20">
        <v>6</v>
      </c>
      <c r="B9" s="78" t="s">
        <v>270</v>
      </c>
      <c r="C9" s="199"/>
      <c r="D9" s="20">
        <v>1</v>
      </c>
      <c r="E9" s="20">
        <v>2</v>
      </c>
      <c r="F9" s="125">
        <v>126.77</v>
      </c>
      <c r="G9" s="77">
        <f t="shared" si="0"/>
        <v>253.54</v>
      </c>
      <c r="H9" s="77">
        <f t="shared" si="1"/>
        <v>253.54</v>
      </c>
      <c r="I9" s="77">
        <f t="shared" si="2"/>
        <v>21.12</v>
      </c>
    </row>
    <row r="10" spans="1:9" x14ac:dyDescent="0.3">
      <c r="A10" s="22"/>
      <c r="B10" s="200" t="s">
        <v>45</v>
      </c>
      <c r="C10" s="201"/>
      <c r="D10" s="201"/>
      <c r="E10" s="202"/>
      <c r="F10" s="79">
        <f>SUM(F4:F9)</f>
        <v>495.69</v>
      </c>
      <c r="G10" s="80">
        <f>SUM(G4:G9)</f>
        <v>2131.5</v>
      </c>
      <c r="H10" s="80">
        <f>SUM(H4:H9)</f>
        <v>2131.5</v>
      </c>
      <c r="I10" s="80">
        <f>SUM(I4:I9)</f>
        <v>177.58999999999997</v>
      </c>
    </row>
    <row r="11" spans="1:9" x14ac:dyDescent="0.3">
      <c r="A11" s="106"/>
      <c r="B11" s="106"/>
      <c r="C11" s="106"/>
      <c r="D11" s="106"/>
      <c r="E11" s="106"/>
      <c r="F11" s="106"/>
      <c r="G11" s="106"/>
      <c r="H11" s="106"/>
      <c r="I11" s="106"/>
    </row>
    <row r="12" spans="1:9" x14ac:dyDescent="0.3">
      <c r="A12" s="179" t="s">
        <v>271</v>
      </c>
      <c r="B12" s="180"/>
      <c r="C12" s="180"/>
      <c r="D12" s="180"/>
      <c r="E12" s="180"/>
      <c r="F12" s="180"/>
      <c r="G12" s="180"/>
      <c r="H12" s="180"/>
      <c r="I12" s="181"/>
    </row>
    <row r="13" spans="1:9" ht="50.25" customHeight="1" x14ac:dyDescent="0.3">
      <c r="A13" s="41" t="s">
        <v>1</v>
      </c>
      <c r="B13" s="41" t="s">
        <v>257</v>
      </c>
      <c r="C13" s="41" t="s">
        <v>258</v>
      </c>
      <c r="D13" s="41" t="s">
        <v>259</v>
      </c>
      <c r="E13" s="41" t="s">
        <v>260</v>
      </c>
      <c r="F13" s="41" t="s">
        <v>261</v>
      </c>
      <c r="G13" s="41" t="s">
        <v>262</v>
      </c>
      <c r="H13" s="41" t="s">
        <v>263</v>
      </c>
      <c r="I13" s="41" t="s">
        <v>264</v>
      </c>
    </row>
    <row r="14" spans="1:9" ht="73.5" customHeight="1" x14ac:dyDescent="0.3">
      <c r="A14" s="20">
        <v>1</v>
      </c>
      <c r="B14" s="76" t="s">
        <v>272</v>
      </c>
      <c r="C14" s="197">
        <v>1</v>
      </c>
      <c r="D14" s="20">
        <v>4</v>
      </c>
      <c r="E14" s="20">
        <v>2</v>
      </c>
      <c r="F14" s="125">
        <v>79.86</v>
      </c>
      <c r="G14" s="77">
        <f>D14*E14*F14</f>
        <v>638.88</v>
      </c>
      <c r="H14" s="77">
        <f>TRUNC(($C$14*G14),2)</f>
        <v>638.88</v>
      </c>
      <c r="I14" s="77">
        <f>TRUNC((H14/12),2)</f>
        <v>53.24</v>
      </c>
    </row>
    <row r="15" spans="1:9" ht="78.75" customHeight="1" x14ac:dyDescent="0.3">
      <c r="A15" s="20">
        <v>2</v>
      </c>
      <c r="B15" s="76" t="s">
        <v>273</v>
      </c>
      <c r="C15" s="198"/>
      <c r="D15" s="20">
        <v>2</v>
      </c>
      <c r="E15" s="20">
        <v>2</v>
      </c>
      <c r="F15" s="125">
        <v>85.72</v>
      </c>
      <c r="G15" s="77">
        <f>D15*E15*F15</f>
        <v>342.88</v>
      </c>
      <c r="H15" s="77">
        <f>TRUNC(($C$14*G15),2)</f>
        <v>342.88</v>
      </c>
      <c r="I15" s="77">
        <f>TRUNC((H15/12),2)</f>
        <v>28.57</v>
      </c>
    </row>
    <row r="16" spans="1:9" ht="26.25" customHeight="1" x14ac:dyDescent="0.3">
      <c r="A16" s="20">
        <v>3</v>
      </c>
      <c r="B16" s="76" t="s">
        <v>274</v>
      </c>
      <c r="C16" s="198"/>
      <c r="D16" s="20">
        <v>4</v>
      </c>
      <c r="E16" s="20">
        <v>2</v>
      </c>
      <c r="F16" s="125">
        <v>27.15</v>
      </c>
      <c r="G16" s="77">
        <f>D16*E16*F16</f>
        <v>217.2</v>
      </c>
      <c r="H16" s="77">
        <f>TRUNC(($C$14*G16),2)</f>
        <v>217.2</v>
      </c>
      <c r="I16" s="77">
        <f>TRUNC((H16/12),2)</f>
        <v>18.100000000000001</v>
      </c>
    </row>
    <row r="17" spans="1:9" ht="33" customHeight="1" x14ac:dyDescent="0.3">
      <c r="A17" s="20">
        <v>4</v>
      </c>
      <c r="B17" s="76" t="s">
        <v>275</v>
      </c>
      <c r="C17" s="198"/>
      <c r="D17" s="20">
        <v>2</v>
      </c>
      <c r="E17" s="20">
        <v>2</v>
      </c>
      <c r="F17" s="125">
        <v>142.19999999999999</v>
      </c>
      <c r="G17" s="77">
        <f>D17*E17*F17</f>
        <v>568.79999999999995</v>
      </c>
      <c r="H17" s="77">
        <f>TRUNC(($C$14*G17),2)</f>
        <v>568.79999999999995</v>
      </c>
      <c r="I17" s="77">
        <f>TRUNC((H17/12),2)</f>
        <v>47.4</v>
      </c>
    </row>
    <row r="18" spans="1:9" x14ac:dyDescent="0.3">
      <c r="A18" s="20">
        <v>5</v>
      </c>
      <c r="B18" s="78" t="s">
        <v>276</v>
      </c>
      <c r="C18" s="199"/>
      <c r="D18" s="20">
        <v>1</v>
      </c>
      <c r="E18" s="20">
        <v>2</v>
      </c>
      <c r="F18" s="125">
        <v>126.77</v>
      </c>
      <c r="G18" s="77">
        <f>D18*E18*F18</f>
        <v>253.54</v>
      </c>
      <c r="H18" s="77">
        <f>TRUNC(($C$14*G18),2)</f>
        <v>253.54</v>
      </c>
      <c r="I18" s="77">
        <f>TRUNC((H18/12),2)</f>
        <v>21.12</v>
      </c>
    </row>
    <row r="19" spans="1:9" x14ac:dyDescent="0.3">
      <c r="A19" s="22"/>
      <c r="B19" s="200" t="s">
        <v>45</v>
      </c>
      <c r="C19" s="201"/>
      <c r="D19" s="201"/>
      <c r="E19" s="202"/>
      <c r="F19" s="79">
        <f>SUM(F14:F18)</f>
        <v>461.69999999999993</v>
      </c>
      <c r="G19" s="79">
        <f>SUM(G14:G18)</f>
        <v>2021.3</v>
      </c>
      <c r="H19" s="79">
        <f>SUM(H14:H18)</f>
        <v>2021.3</v>
      </c>
      <c r="I19" s="81">
        <f>SUM(I14:I18)</f>
        <v>168.43</v>
      </c>
    </row>
    <row r="20" spans="1:9" x14ac:dyDescent="0.3">
      <c r="A20" s="106"/>
      <c r="B20" s="106"/>
      <c r="C20" s="106"/>
      <c r="D20" s="106"/>
      <c r="E20" s="106"/>
      <c r="F20" s="106"/>
      <c r="G20" s="106"/>
      <c r="H20" s="106"/>
      <c r="I20" s="106"/>
    </row>
    <row r="21" spans="1:9" x14ac:dyDescent="0.3">
      <c r="A21" s="179" t="s">
        <v>277</v>
      </c>
      <c r="B21" s="180"/>
      <c r="C21" s="180"/>
      <c r="D21" s="180"/>
      <c r="E21" s="180"/>
      <c r="F21" s="180"/>
      <c r="G21" s="180"/>
      <c r="H21" s="180"/>
      <c r="I21" s="181"/>
    </row>
    <row r="22" spans="1:9" ht="52.5" customHeight="1" x14ac:dyDescent="0.3">
      <c r="A22" s="41" t="s">
        <v>1</v>
      </c>
      <c r="B22" s="41" t="s">
        <v>257</v>
      </c>
      <c r="C22" s="41" t="s">
        <v>258</v>
      </c>
      <c r="D22" s="41" t="s">
        <v>259</v>
      </c>
      <c r="E22" s="41" t="s">
        <v>260</v>
      </c>
      <c r="F22" s="41" t="s">
        <v>261</v>
      </c>
      <c r="G22" s="41" t="s">
        <v>262</v>
      </c>
      <c r="H22" s="41" t="s">
        <v>263</v>
      </c>
      <c r="I22" s="41" t="s">
        <v>264</v>
      </c>
    </row>
    <row r="23" spans="1:9" x14ac:dyDescent="0.3">
      <c r="A23" s="20" t="s">
        <v>278</v>
      </c>
      <c r="B23" s="187" t="s">
        <v>279</v>
      </c>
      <c r="C23" s="192"/>
      <c r="D23" s="192"/>
      <c r="E23" s="188"/>
      <c r="F23" s="67">
        <f>F10+F19</f>
        <v>957.38999999999987</v>
      </c>
      <c r="G23" s="67">
        <f>G10+G19</f>
        <v>4152.8</v>
      </c>
      <c r="H23" s="67">
        <f>H10+H19</f>
        <v>4152.8</v>
      </c>
      <c r="I23" s="49">
        <f>(I10+I19)/2</f>
        <v>173.01</v>
      </c>
    </row>
    <row r="24" spans="1:9" x14ac:dyDescent="0.3">
      <c r="A24" s="51"/>
      <c r="B24" s="51"/>
      <c r="C24" s="51"/>
      <c r="D24" s="51"/>
      <c r="E24" s="51"/>
      <c r="F24" s="51"/>
      <c r="G24" s="51"/>
      <c r="H24" s="51"/>
      <c r="I24" s="51"/>
    </row>
    <row r="25" spans="1:9" x14ac:dyDescent="0.3">
      <c r="A25" s="51"/>
      <c r="B25" s="51"/>
      <c r="C25" s="51"/>
      <c r="D25" s="51"/>
      <c r="E25" s="51"/>
      <c r="F25" s="51"/>
      <c r="G25" s="51"/>
      <c r="H25" s="51"/>
      <c r="I25" s="51"/>
    </row>
    <row r="26" spans="1:9" x14ac:dyDescent="0.3">
      <c r="A26" s="51"/>
      <c r="B26" s="51"/>
      <c r="C26" s="51"/>
      <c r="D26" s="51"/>
      <c r="E26" s="51"/>
      <c r="F26" s="51"/>
      <c r="G26" s="51"/>
      <c r="H26" s="51"/>
      <c r="I26" s="51"/>
    </row>
    <row r="27" spans="1:9" x14ac:dyDescent="0.3">
      <c r="A27" s="179" t="s">
        <v>280</v>
      </c>
      <c r="B27" s="180"/>
      <c r="C27" s="180"/>
      <c r="D27" s="180"/>
      <c r="E27" s="180"/>
      <c r="F27" s="180"/>
      <c r="G27" s="180"/>
      <c r="H27" s="180"/>
      <c r="I27" s="181"/>
    </row>
    <row r="28" spans="1:9" ht="20.399999999999999" x14ac:dyDescent="0.3">
      <c r="A28" s="41" t="s">
        <v>1</v>
      </c>
      <c r="B28" s="41" t="s">
        <v>257</v>
      </c>
      <c r="C28" s="41" t="s">
        <v>258</v>
      </c>
      <c r="D28" s="41" t="s">
        <v>259</v>
      </c>
      <c r="E28" s="41" t="s">
        <v>260</v>
      </c>
      <c r="F28" s="41" t="s">
        <v>261</v>
      </c>
      <c r="G28" s="41" t="s">
        <v>262</v>
      </c>
      <c r="H28" s="41" t="s">
        <v>263</v>
      </c>
      <c r="I28" s="41" t="s">
        <v>264</v>
      </c>
    </row>
    <row r="29" spans="1:9" x14ac:dyDescent="0.3">
      <c r="A29" s="20">
        <v>1</v>
      </c>
      <c r="B29" s="78" t="s">
        <v>281</v>
      </c>
      <c r="C29" s="197">
        <v>1</v>
      </c>
      <c r="D29" s="82">
        <v>3</v>
      </c>
      <c r="E29" s="20">
        <v>2</v>
      </c>
      <c r="F29" s="125">
        <v>57.67</v>
      </c>
      <c r="G29" s="77">
        <f>D29*E29*F29</f>
        <v>346.02</v>
      </c>
      <c r="H29" s="77">
        <f>TRUNC(($C$29*G29),2)</f>
        <v>346.02</v>
      </c>
      <c r="I29" s="77">
        <f>TRUNC((H29/12),2)</f>
        <v>28.83</v>
      </c>
    </row>
    <row r="30" spans="1:9" ht="32.25" customHeight="1" x14ac:dyDescent="0.3">
      <c r="A30" s="20">
        <v>2</v>
      </c>
      <c r="B30" s="76" t="s">
        <v>282</v>
      </c>
      <c r="C30" s="198"/>
      <c r="D30" s="82">
        <v>4</v>
      </c>
      <c r="E30" s="20">
        <v>2</v>
      </c>
      <c r="F30" s="125">
        <v>63.45</v>
      </c>
      <c r="G30" s="77">
        <f>D30*E30*F30</f>
        <v>507.6</v>
      </c>
      <c r="H30" s="77">
        <f>TRUNC(($C$29*G30),2)</f>
        <v>507.6</v>
      </c>
      <c r="I30" s="77">
        <f>TRUNC((H30/12),2)</f>
        <v>42.3</v>
      </c>
    </row>
    <row r="31" spans="1:9" ht="48.75" customHeight="1" x14ac:dyDescent="0.3">
      <c r="A31" s="20">
        <v>3</v>
      </c>
      <c r="B31" s="76" t="s">
        <v>283</v>
      </c>
      <c r="C31" s="198"/>
      <c r="D31" s="82">
        <v>1</v>
      </c>
      <c r="E31" s="20">
        <v>2</v>
      </c>
      <c r="F31" s="125">
        <v>79.709999999999994</v>
      </c>
      <c r="G31" s="77">
        <f>D31*E31*F31</f>
        <v>159.41999999999999</v>
      </c>
      <c r="H31" s="77">
        <f>TRUNC(($C$29*G31),2)</f>
        <v>159.41999999999999</v>
      </c>
      <c r="I31" s="77">
        <f>TRUNC((H31/12),2)</f>
        <v>13.28</v>
      </c>
    </row>
    <row r="32" spans="1:9" ht="48.75" customHeight="1" x14ac:dyDescent="0.3">
      <c r="A32" s="20">
        <v>4</v>
      </c>
      <c r="B32" s="76" t="s">
        <v>284</v>
      </c>
      <c r="C32" s="198"/>
      <c r="D32" s="82">
        <v>4</v>
      </c>
      <c r="E32" s="20">
        <v>2</v>
      </c>
      <c r="F32" s="125">
        <v>9.23</v>
      </c>
      <c r="G32" s="77">
        <f>D32*E32*F32</f>
        <v>73.84</v>
      </c>
      <c r="H32" s="77">
        <f>TRUNC(($C$29*G32),2)</f>
        <v>73.84</v>
      </c>
      <c r="I32" s="77">
        <f>TRUNC((H32/12),2)</f>
        <v>6.15</v>
      </c>
    </row>
    <row r="33" spans="1:9" ht="27.75" customHeight="1" x14ac:dyDescent="0.3">
      <c r="A33" s="20">
        <v>5</v>
      </c>
      <c r="B33" s="76" t="s">
        <v>285</v>
      </c>
      <c r="C33" s="199"/>
      <c r="D33" s="82">
        <v>1</v>
      </c>
      <c r="E33" s="20">
        <v>1</v>
      </c>
      <c r="F33" s="125">
        <v>69.760000000000005</v>
      </c>
      <c r="G33" s="77">
        <f>D33*E33*F33</f>
        <v>69.760000000000005</v>
      </c>
      <c r="H33" s="77">
        <f>TRUNC(($C$29*G33),2)</f>
        <v>69.760000000000005</v>
      </c>
      <c r="I33" s="77">
        <f>TRUNC((H33/12),2)</f>
        <v>5.81</v>
      </c>
    </row>
    <row r="34" spans="1:9" x14ac:dyDescent="0.3">
      <c r="A34" s="20"/>
      <c r="B34" s="203" t="s">
        <v>45</v>
      </c>
      <c r="C34" s="204"/>
      <c r="D34" s="204"/>
      <c r="E34" s="205"/>
      <c r="F34" s="67">
        <f>SUM(F29:F33)</f>
        <v>279.82</v>
      </c>
      <c r="G34" s="67">
        <f>SUM(G29:G33)</f>
        <v>1156.6399999999999</v>
      </c>
      <c r="H34" s="67">
        <f>SUM(H29:H33)</f>
        <v>1156.6399999999999</v>
      </c>
      <c r="I34" s="49">
        <f>SUM(I29:I33)</f>
        <v>96.37</v>
      </c>
    </row>
    <row r="35" spans="1:9" ht="15" thickTop="1" x14ac:dyDescent="0.3">
      <c r="A35" s="51"/>
      <c r="B35" s="51"/>
      <c r="C35" s="51"/>
      <c r="D35" s="51"/>
      <c r="E35" s="51"/>
      <c r="F35" s="51"/>
      <c r="G35" s="51"/>
      <c r="H35" s="51"/>
      <c r="I35" s="51"/>
    </row>
    <row r="36" spans="1:9" x14ac:dyDescent="0.3">
      <c r="A36" s="51"/>
      <c r="B36" s="51"/>
      <c r="C36" s="51"/>
      <c r="D36" s="51"/>
      <c r="E36" s="51"/>
      <c r="F36" s="51"/>
      <c r="G36" s="51"/>
      <c r="H36" s="51"/>
      <c r="I36" s="51"/>
    </row>
    <row r="37" spans="1:9" x14ac:dyDescent="0.3">
      <c r="A37" s="51"/>
      <c r="B37" s="51"/>
      <c r="C37" s="51"/>
      <c r="D37" s="51"/>
      <c r="E37" s="51"/>
      <c r="F37" s="51"/>
      <c r="G37" s="51"/>
      <c r="H37" s="51"/>
      <c r="I37" s="51"/>
    </row>
    <row r="38" spans="1:9" x14ac:dyDescent="0.3">
      <c r="A38" s="51"/>
      <c r="B38" s="51"/>
      <c r="C38" s="51"/>
      <c r="D38" s="51"/>
      <c r="E38" s="51"/>
      <c r="F38" s="51"/>
      <c r="G38" s="51"/>
      <c r="H38" s="51"/>
      <c r="I38" s="51"/>
    </row>
    <row r="39" spans="1:9" x14ac:dyDescent="0.3">
      <c r="A39" s="10"/>
      <c r="B39" s="10"/>
      <c r="C39" s="10"/>
      <c r="D39" s="10"/>
      <c r="E39" s="10"/>
      <c r="F39" s="10"/>
      <c r="G39" s="10"/>
      <c r="H39" s="10"/>
      <c r="I39" s="10"/>
    </row>
  </sheetData>
  <sheetProtection sheet="1" objects="1" scenarios="1"/>
  <protectedRanges>
    <protectedRange sqref="F29:F33" name="Intervalo3"/>
    <protectedRange sqref="F4:F9" name="Intervalo1"/>
    <protectedRange sqref="F14:F18" name="Intervalo2"/>
  </protectedRanges>
  <mergeCells count="12">
    <mergeCell ref="C29:C33"/>
    <mergeCell ref="B34:E34"/>
    <mergeCell ref="B19:E19"/>
    <mergeCell ref="A21:I21"/>
    <mergeCell ref="B23:E23"/>
    <mergeCell ref="A27:I27"/>
    <mergeCell ref="C14:C18"/>
    <mergeCell ref="A1:I1"/>
    <mergeCell ref="A2:I2"/>
    <mergeCell ref="C4:C9"/>
    <mergeCell ref="B10:E10"/>
    <mergeCell ref="A12:I1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585ECC-345C-4B06-81C8-B2D666C9E25E}">
  <dimension ref="A1:E12"/>
  <sheetViews>
    <sheetView zoomScale="110" zoomScaleNormal="110" workbookViewId="0">
      <selection activeCell="C3" sqref="C3"/>
    </sheetView>
  </sheetViews>
  <sheetFormatPr defaultRowHeight="14.4" x14ac:dyDescent="0.3"/>
  <cols>
    <col min="2" max="2" width="35.88671875" customWidth="1"/>
    <col min="3" max="3" width="20.33203125" customWidth="1"/>
    <col min="4" max="4" width="18.88671875" customWidth="1"/>
    <col min="5" max="5" width="20.33203125" customWidth="1"/>
  </cols>
  <sheetData>
    <row r="1" spans="1:5" ht="20.100000000000001" customHeight="1" thickTop="1" thickBot="1" x14ac:dyDescent="0.35">
      <c r="A1" s="206" t="s">
        <v>286</v>
      </c>
      <c r="B1" s="207"/>
      <c r="C1" s="207"/>
      <c r="D1" s="207"/>
      <c r="E1" s="208"/>
    </row>
    <row r="2" spans="1:5" ht="20.100000000000001" customHeight="1" thickTop="1" thickBot="1" x14ac:dyDescent="0.35">
      <c r="A2" s="41" t="s">
        <v>1</v>
      </c>
      <c r="B2" s="41" t="s">
        <v>287</v>
      </c>
      <c r="C2" s="41" t="s">
        <v>68</v>
      </c>
      <c r="D2" s="41" t="s">
        <v>33</v>
      </c>
      <c r="E2" s="41" t="s">
        <v>39</v>
      </c>
    </row>
    <row r="3" spans="1:5" ht="20.100000000000001" customHeight="1" thickTop="1" thickBot="1" x14ac:dyDescent="0.35">
      <c r="A3" s="39">
        <v>1</v>
      </c>
      <c r="B3" s="76" t="s">
        <v>288</v>
      </c>
      <c r="C3" s="128">
        <v>41.98</v>
      </c>
      <c r="D3" s="39">
        <v>1</v>
      </c>
      <c r="E3" s="40">
        <f>C3*D3</f>
        <v>41.98</v>
      </c>
    </row>
    <row r="4" spans="1:5" ht="20.100000000000001" customHeight="1" thickTop="1" thickBot="1" x14ac:dyDescent="0.35">
      <c r="A4" s="39">
        <v>2</v>
      </c>
      <c r="B4" s="76" t="s">
        <v>289</v>
      </c>
      <c r="C4" s="128">
        <v>20.87</v>
      </c>
      <c r="D4" s="39">
        <v>1</v>
      </c>
      <c r="E4" s="40">
        <f>C4*D4</f>
        <v>20.87</v>
      </c>
    </row>
    <row r="5" spans="1:5" ht="20.100000000000001" customHeight="1" thickTop="1" thickBot="1" x14ac:dyDescent="0.35">
      <c r="A5" s="39"/>
      <c r="B5" s="39"/>
      <c r="C5" s="39"/>
      <c r="D5" s="39"/>
      <c r="E5" s="39"/>
    </row>
    <row r="6" spans="1:5" ht="20.100000000000001" customHeight="1" thickTop="1" thickBot="1" x14ac:dyDescent="0.35">
      <c r="A6" s="41" t="s">
        <v>45</v>
      </c>
      <c r="B6" s="39"/>
      <c r="C6" s="83">
        <f>SUM(C3:C4)</f>
        <v>62.849999999999994</v>
      </c>
      <c r="D6" s="39"/>
      <c r="E6" s="126">
        <f>SUM(E3:E4)</f>
        <v>62.849999999999994</v>
      </c>
    </row>
    <row r="7" spans="1:5" ht="20.100000000000001" customHeight="1" thickTop="1" thickBot="1" x14ac:dyDescent="0.35">
      <c r="A7" s="51"/>
      <c r="B7" s="51"/>
      <c r="C7" s="51"/>
      <c r="D7" s="51"/>
      <c r="E7" s="51"/>
    </row>
    <row r="8" spans="1:5" ht="20.100000000000001" customHeight="1" thickTop="1" thickBot="1" x14ac:dyDescent="0.35">
      <c r="A8" s="51"/>
      <c r="B8" s="51"/>
      <c r="C8" s="209" t="s">
        <v>88</v>
      </c>
      <c r="D8" s="210"/>
      <c r="E8" s="127">
        <f>TRUNC((E6/12),2)</f>
        <v>5.23</v>
      </c>
    </row>
    <row r="9" spans="1:5" ht="15" thickTop="1" x14ac:dyDescent="0.3">
      <c r="A9" s="52"/>
      <c r="B9" s="52"/>
      <c r="C9" s="52"/>
      <c r="D9" s="52"/>
      <c r="E9" s="52"/>
    </row>
    <row r="10" spans="1:5" x14ac:dyDescent="0.3">
      <c r="A10" s="52"/>
      <c r="B10" s="52"/>
      <c r="C10" s="52"/>
      <c r="D10" s="52"/>
      <c r="E10" s="52"/>
    </row>
    <row r="11" spans="1:5" x14ac:dyDescent="0.3">
      <c r="A11" s="52"/>
      <c r="B11" s="52"/>
      <c r="C11" s="52"/>
      <c r="D11" s="52"/>
      <c r="E11" s="52"/>
    </row>
    <row r="12" spans="1:5" x14ac:dyDescent="0.3">
      <c r="A12" s="8"/>
      <c r="B12" s="8"/>
      <c r="C12" s="8"/>
      <c r="D12" s="8"/>
      <c r="E12" s="8"/>
    </row>
  </sheetData>
  <sheetProtection sheet="1" objects="1" scenarios="1"/>
  <protectedRanges>
    <protectedRange sqref="C3:C4" name="Intervalo1"/>
  </protectedRanges>
  <mergeCells count="2">
    <mergeCell ref="A1:E1"/>
    <mergeCell ref="C8:D8"/>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922F479-6B60-42F0-85C0-A74855B6F3F0}">
  <dimension ref="A1:I142"/>
  <sheetViews>
    <sheetView zoomScale="140" zoomScaleNormal="140" workbookViewId="0">
      <selection activeCell="C10" sqref="C10:F10"/>
    </sheetView>
  </sheetViews>
  <sheetFormatPr defaultRowHeight="14.4" x14ac:dyDescent="0.3"/>
  <cols>
    <col min="1" max="1" width="14.44140625" customWidth="1"/>
    <col min="2" max="2" width="19.88671875" customWidth="1"/>
    <col min="3" max="3" width="20.5546875" customWidth="1"/>
    <col min="4" max="4" width="18.5546875" customWidth="1"/>
    <col min="5" max="5" width="18.6640625" customWidth="1"/>
    <col min="6" max="6" width="18.5546875" customWidth="1"/>
  </cols>
  <sheetData>
    <row r="1" spans="1:6" ht="15" thickTop="1" x14ac:dyDescent="0.3">
      <c r="A1" s="211"/>
      <c r="B1" s="212"/>
      <c r="C1" s="212"/>
      <c r="D1" s="212"/>
      <c r="E1" s="212"/>
      <c r="F1" s="213"/>
    </row>
    <row r="2" spans="1:6" x14ac:dyDescent="0.3">
      <c r="A2" s="214"/>
      <c r="B2" s="215"/>
      <c r="C2" s="215"/>
      <c r="D2" s="215"/>
      <c r="E2" s="215"/>
      <c r="F2" s="216"/>
    </row>
    <row r="3" spans="1:6" x14ac:dyDescent="0.3">
      <c r="A3" s="214"/>
      <c r="B3" s="215"/>
      <c r="C3" s="215"/>
      <c r="D3" s="215"/>
      <c r="E3" s="215"/>
      <c r="F3" s="216"/>
    </row>
    <row r="4" spans="1:6" x14ac:dyDescent="0.3">
      <c r="A4" s="214"/>
      <c r="B4" s="215"/>
      <c r="C4" s="215"/>
      <c r="D4" s="215"/>
      <c r="E4" s="215"/>
      <c r="F4" s="216"/>
    </row>
    <row r="5" spans="1:6" x14ac:dyDescent="0.3">
      <c r="A5" s="214"/>
      <c r="B5" s="215"/>
      <c r="C5" s="215"/>
      <c r="D5" s="215"/>
      <c r="E5" s="215"/>
      <c r="F5" s="216"/>
    </row>
    <row r="6" spans="1:6" ht="15" thickBot="1" x14ac:dyDescent="0.35">
      <c r="A6" s="214"/>
      <c r="B6" s="215"/>
      <c r="C6" s="215"/>
      <c r="D6" s="215"/>
      <c r="E6" s="215"/>
      <c r="F6" s="216"/>
    </row>
    <row r="7" spans="1:6" ht="15.6" thickTop="1" thickBot="1" x14ac:dyDescent="0.35">
      <c r="A7" s="217"/>
      <c r="B7" s="218"/>
      <c r="C7" s="218"/>
      <c r="D7" s="218"/>
      <c r="E7" s="218"/>
      <c r="F7" s="219"/>
    </row>
    <row r="8" spans="1:6" ht="15.6" thickTop="1" thickBot="1" x14ac:dyDescent="0.35">
      <c r="A8" s="220" t="s">
        <v>290</v>
      </c>
      <c r="B8" s="221"/>
      <c r="C8" s="221"/>
      <c r="D8" s="221"/>
      <c r="E8" s="221"/>
      <c r="F8" s="222"/>
    </row>
    <row r="9" spans="1:6" ht="15.6" thickTop="1" thickBot="1" x14ac:dyDescent="0.35">
      <c r="A9" s="223" t="s">
        <v>291</v>
      </c>
      <c r="B9" s="224"/>
      <c r="C9" s="225" t="s">
        <v>292</v>
      </c>
      <c r="D9" s="226"/>
      <c r="E9" s="226"/>
      <c r="F9" s="227"/>
    </row>
    <row r="10" spans="1:6" ht="15.6" thickTop="1" thickBot="1" x14ac:dyDescent="0.35">
      <c r="A10" s="228" t="s">
        <v>293</v>
      </c>
      <c r="B10" s="229"/>
      <c r="C10" s="230" t="s">
        <v>294</v>
      </c>
      <c r="D10" s="231"/>
      <c r="E10" s="231"/>
      <c r="F10" s="232"/>
    </row>
    <row r="11" spans="1:6" ht="15.6" thickTop="1" thickBot="1" x14ac:dyDescent="0.35">
      <c r="A11" s="217"/>
      <c r="B11" s="218"/>
      <c r="C11" s="218"/>
      <c r="D11" s="218"/>
      <c r="E11" s="218"/>
      <c r="F11" s="219"/>
    </row>
    <row r="12" spans="1:6" ht="15.6" thickTop="1" thickBot="1" x14ac:dyDescent="0.35">
      <c r="A12" s="220" t="s">
        <v>295</v>
      </c>
      <c r="B12" s="221"/>
      <c r="C12" s="221"/>
      <c r="D12" s="221"/>
      <c r="E12" s="221"/>
      <c r="F12" s="222"/>
    </row>
    <row r="13" spans="1:6" ht="15.6" thickTop="1" thickBot="1" x14ac:dyDescent="0.35">
      <c r="A13" s="223" t="s">
        <v>296</v>
      </c>
      <c r="B13" s="224"/>
      <c r="C13" s="230" t="s">
        <v>297</v>
      </c>
      <c r="D13" s="231"/>
      <c r="E13" s="231"/>
      <c r="F13" s="232"/>
    </row>
    <row r="14" spans="1:6" ht="15.6" thickTop="1" thickBot="1" x14ac:dyDescent="0.35">
      <c r="A14" s="228" t="s">
        <v>298</v>
      </c>
      <c r="B14" s="229"/>
      <c r="C14" s="228" t="s">
        <v>299</v>
      </c>
      <c r="D14" s="240"/>
      <c r="E14" s="240"/>
      <c r="F14" s="229"/>
    </row>
    <row r="15" spans="1:6" ht="15.6" thickTop="1" thickBot="1" x14ac:dyDescent="0.35">
      <c r="A15" s="233" t="s">
        <v>300</v>
      </c>
      <c r="B15" s="234"/>
      <c r="C15" s="239" t="s">
        <v>501</v>
      </c>
      <c r="D15" s="239"/>
      <c r="E15" s="239"/>
      <c r="F15" s="239"/>
    </row>
    <row r="16" spans="1:6" ht="15.6" thickTop="1" thickBot="1" x14ac:dyDescent="0.35">
      <c r="A16" s="235"/>
      <c r="B16" s="236"/>
      <c r="C16" s="239" t="s">
        <v>502</v>
      </c>
      <c r="D16" s="239"/>
      <c r="E16" s="239"/>
      <c r="F16" s="239"/>
    </row>
    <row r="17" spans="1:9" ht="15.6" thickTop="1" thickBot="1" x14ac:dyDescent="0.35">
      <c r="A17" s="237"/>
      <c r="B17" s="238"/>
      <c r="C17" s="239" t="s">
        <v>503</v>
      </c>
      <c r="D17" s="239"/>
      <c r="E17" s="239"/>
      <c r="F17" s="239"/>
    </row>
    <row r="18" spans="1:9" ht="15.6" thickTop="1" thickBot="1" x14ac:dyDescent="0.35">
      <c r="A18" s="228" t="s">
        <v>301</v>
      </c>
      <c r="B18" s="229"/>
      <c r="C18" s="228">
        <v>12</v>
      </c>
      <c r="D18" s="240"/>
      <c r="E18" s="240"/>
      <c r="F18" s="229"/>
    </row>
    <row r="19" spans="1:9" ht="15.6" thickTop="1" thickBot="1" x14ac:dyDescent="0.35">
      <c r="A19" s="217"/>
      <c r="B19" s="218"/>
      <c r="C19" s="218"/>
      <c r="D19" s="218"/>
      <c r="E19" s="218"/>
      <c r="F19" s="219"/>
    </row>
    <row r="20" spans="1:9" ht="15.6" thickTop="1" thickBot="1" x14ac:dyDescent="0.35">
      <c r="A20" s="220" t="s">
        <v>302</v>
      </c>
      <c r="B20" s="221"/>
      <c r="C20" s="221"/>
      <c r="D20" s="221"/>
      <c r="E20" s="221"/>
      <c r="F20" s="222"/>
    </row>
    <row r="21" spans="1:9" ht="15.6" thickTop="1" thickBot="1" x14ac:dyDescent="0.35">
      <c r="A21" s="223" t="s">
        <v>303</v>
      </c>
      <c r="B21" s="224"/>
      <c r="C21" s="223" t="s">
        <v>304</v>
      </c>
      <c r="D21" s="243"/>
      <c r="E21" s="243"/>
      <c r="F21" s="224"/>
    </row>
    <row r="22" spans="1:9" ht="27" customHeight="1" thickTop="1" thickBot="1" x14ac:dyDescent="0.35">
      <c r="A22" s="247" t="s">
        <v>305</v>
      </c>
      <c r="B22" s="248"/>
      <c r="C22" s="228">
        <v>1</v>
      </c>
      <c r="D22" s="240"/>
      <c r="E22" s="240"/>
      <c r="F22" s="229"/>
    </row>
    <row r="23" spans="1:9" ht="15.6" thickTop="1" thickBot="1" x14ac:dyDescent="0.35">
      <c r="A23" s="217"/>
      <c r="B23" s="218"/>
      <c r="C23" s="218"/>
      <c r="D23" s="218"/>
      <c r="E23" s="218"/>
      <c r="F23" s="219"/>
    </row>
    <row r="24" spans="1:9" ht="15.6" thickTop="1" thickBot="1" x14ac:dyDescent="0.35">
      <c r="A24" s="220" t="s">
        <v>306</v>
      </c>
      <c r="B24" s="221"/>
      <c r="C24" s="221"/>
      <c r="D24" s="221"/>
      <c r="E24" s="221"/>
      <c r="F24" s="222"/>
    </row>
    <row r="25" spans="1:9" ht="15.6" thickTop="1" thickBot="1" x14ac:dyDescent="0.35">
      <c r="A25" s="228" t="s">
        <v>307</v>
      </c>
      <c r="B25" s="240"/>
      <c r="C25" s="240"/>
      <c r="D25" s="240"/>
      <c r="E25" s="240"/>
      <c r="F25" s="229"/>
    </row>
    <row r="26" spans="1:9" ht="21" customHeight="1" thickTop="1" thickBot="1" x14ac:dyDescent="0.35">
      <c r="A26" s="241" t="s">
        <v>308</v>
      </c>
      <c r="B26" s="242"/>
      <c r="C26" s="223" t="s">
        <v>21</v>
      </c>
      <c r="D26" s="243"/>
      <c r="E26" s="243"/>
      <c r="F26" s="224"/>
    </row>
    <row r="27" spans="1:9" ht="15.6" thickTop="1" thickBot="1" x14ac:dyDescent="0.35">
      <c r="A27" s="228" t="s">
        <v>309</v>
      </c>
      <c r="B27" s="229"/>
      <c r="C27" s="244" t="s">
        <v>310</v>
      </c>
      <c r="D27" s="245"/>
      <c r="E27" s="245"/>
      <c r="F27" s="246"/>
    </row>
    <row r="28" spans="1:9" ht="15.6" thickTop="1" thickBot="1" x14ac:dyDescent="0.35">
      <c r="A28" s="223" t="s">
        <v>311</v>
      </c>
      <c r="B28" s="224"/>
      <c r="C28" s="258">
        <f>'Salários.VA.VT.QteDias'!C3</f>
        <v>2371.3200000000002</v>
      </c>
      <c r="D28" s="231"/>
      <c r="E28" s="231"/>
      <c r="F28" s="232"/>
    </row>
    <row r="29" spans="1:9" ht="24.75" customHeight="1" thickTop="1" thickBot="1" x14ac:dyDescent="0.35">
      <c r="A29" s="247" t="s">
        <v>312</v>
      </c>
      <c r="B29" s="248"/>
      <c r="C29" s="228" t="s">
        <v>313</v>
      </c>
      <c r="D29" s="240"/>
      <c r="E29" s="240"/>
      <c r="F29" s="229"/>
      <c r="I29" s="2"/>
    </row>
    <row r="30" spans="1:9" ht="15.6" thickTop="1" thickBot="1" x14ac:dyDescent="0.35">
      <c r="A30" s="223" t="s">
        <v>314</v>
      </c>
      <c r="B30" s="224"/>
      <c r="C30" s="230" t="s">
        <v>504</v>
      </c>
      <c r="D30" s="231"/>
      <c r="E30" s="231"/>
      <c r="F30" s="232"/>
    </row>
    <row r="31" spans="1:9" ht="15.6" thickTop="1" thickBot="1" x14ac:dyDescent="0.35">
      <c r="A31" s="249" t="s">
        <v>315</v>
      </c>
      <c r="B31" s="250"/>
      <c r="C31" s="250"/>
      <c r="D31" s="250"/>
      <c r="E31" s="250"/>
      <c r="F31" s="251"/>
    </row>
    <row r="32" spans="1:9" ht="15.6" thickTop="1" thickBot="1" x14ac:dyDescent="0.35">
      <c r="A32" s="220" t="s">
        <v>316</v>
      </c>
      <c r="B32" s="221"/>
      <c r="C32" s="221"/>
      <c r="D32" s="221"/>
      <c r="E32" s="221"/>
      <c r="F32" s="222"/>
    </row>
    <row r="33" spans="1:6" ht="15.6" thickTop="1" thickBot="1" x14ac:dyDescent="0.35">
      <c r="A33" s="11" t="s">
        <v>1</v>
      </c>
      <c r="B33" s="252" t="s">
        <v>317</v>
      </c>
      <c r="C33" s="253"/>
      <c r="D33" s="253"/>
      <c r="E33" s="254"/>
      <c r="F33" s="12" t="s">
        <v>318</v>
      </c>
    </row>
    <row r="34" spans="1:6" ht="15.6" thickTop="1" thickBot="1" x14ac:dyDescent="0.35">
      <c r="A34" s="85" t="s">
        <v>319</v>
      </c>
      <c r="B34" s="255" t="s">
        <v>320</v>
      </c>
      <c r="C34" s="255"/>
      <c r="D34" s="255"/>
      <c r="E34" s="255"/>
      <c r="F34" s="86">
        <f>$C$28</f>
        <v>2371.3200000000002</v>
      </c>
    </row>
    <row r="35" spans="1:6" ht="15.6" thickTop="1" thickBot="1" x14ac:dyDescent="0.35">
      <c r="A35" s="87" t="s">
        <v>321</v>
      </c>
      <c r="B35" s="256" t="s">
        <v>322</v>
      </c>
      <c r="C35" s="256"/>
      <c r="D35" s="256"/>
      <c r="E35" s="256"/>
      <c r="F35" s="129">
        <v>0</v>
      </c>
    </row>
    <row r="36" spans="1:6" ht="15.6" thickTop="1" thickBot="1" x14ac:dyDescent="0.35">
      <c r="A36" s="85" t="s">
        <v>323</v>
      </c>
      <c r="B36" s="257" t="s">
        <v>324</v>
      </c>
      <c r="C36" s="257"/>
      <c r="D36" s="257"/>
      <c r="E36" s="257"/>
      <c r="F36" s="130">
        <v>0</v>
      </c>
    </row>
    <row r="37" spans="1:6" ht="15.6" thickTop="1" thickBot="1" x14ac:dyDescent="0.35">
      <c r="A37" s="87" t="s">
        <v>325</v>
      </c>
      <c r="B37" s="256" t="s">
        <v>326</v>
      </c>
      <c r="C37" s="256"/>
      <c r="D37" s="256"/>
      <c r="E37" s="256"/>
      <c r="F37" s="129">
        <v>0</v>
      </c>
    </row>
    <row r="38" spans="1:6" ht="15.6" thickTop="1" thickBot="1" x14ac:dyDescent="0.35">
      <c r="A38" s="85" t="s">
        <v>327</v>
      </c>
      <c r="B38" s="255" t="s">
        <v>328</v>
      </c>
      <c r="C38" s="255"/>
      <c r="D38" s="255"/>
      <c r="E38" s="255"/>
      <c r="F38" s="130">
        <v>0</v>
      </c>
    </row>
    <row r="39" spans="1:6" ht="15.6" thickTop="1" thickBot="1" x14ac:dyDescent="0.35">
      <c r="A39" s="87" t="s">
        <v>329</v>
      </c>
      <c r="B39" s="256" t="s">
        <v>330</v>
      </c>
      <c r="C39" s="256"/>
      <c r="D39" s="256"/>
      <c r="E39" s="256"/>
      <c r="F39" s="129">
        <v>0</v>
      </c>
    </row>
    <row r="40" spans="1:6" ht="15.6" thickTop="1" thickBot="1" x14ac:dyDescent="0.35">
      <c r="A40" s="85" t="s">
        <v>331</v>
      </c>
      <c r="B40" s="255" t="s">
        <v>332</v>
      </c>
      <c r="C40" s="255"/>
      <c r="D40" s="255"/>
      <c r="E40" s="255"/>
      <c r="F40" s="130">
        <v>0</v>
      </c>
    </row>
    <row r="41" spans="1:6" ht="15.6" thickTop="1" thickBot="1" x14ac:dyDescent="0.35">
      <c r="A41" s="220" t="s">
        <v>333</v>
      </c>
      <c r="B41" s="221"/>
      <c r="C41" s="221"/>
      <c r="D41" s="221"/>
      <c r="E41" s="222"/>
      <c r="F41" s="16">
        <f>TRUNC(SUM(F34:F40),2)</f>
        <v>2371.3200000000002</v>
      </c>
    </row>
    <row r="42" spans="1:6" ht="15.6" thickTop="1" thickBot="1" x14ac:dyDescent="0.35">
      <c r="A42" s="217"/>
      <c r="B42" s="218"/>
      <c r="C42" s="218"/>
      <c r="D42" s="218"/>
      <c r="E42" s="218"/>
      <c r="F42" s="219"/>
    </row>
    <row r="43" spans="1:6" ht="15.6" thickTop="1" thickBot="1" x14ac:dyDescent="0.35">
      <c r="A43" s="220" t="s">
        <v>334</v>
      </c>
      <c r="B43" s="221"/>
      <c r="C43" s="221"/>
      <c r="D43" s="221"/>
      <c r="E43" s="221"/>
      <c r="F43" s="222"/>
    </row>
    <row r="44" spans="1:6" ht="15.6" thickTop="1" thickBot="1" x14ac:dyDescent="0.35">
      <c r="A44" s="259" t="s">
        <v>335</v>
      </c>
      <c r="B44" s="260"/>
      <c r="C44" s="260"/>
      <c r="D44" s="260"/>
      <c r="E44" s="260"/>
      <c r="F44" s="261"/>
    </row>
    <row r="45" spans="1:6" ht="15.6" thickTop="1" thickBot="1" x14ac:dyDescent="0.35">
      <c r="A45" s="11" t="s">
        <v>336</v>
      </c>
      <c r="B45" s="252" t="s">
        <v>337</v>
      </c>
      <c r="C45" s="253"/>
      <c r="D45" s="254"/>
      <c r="E45" s="12" t="s">
        <v>338</v>
      </c>
      <c r="F45" s="12" t="s">
        <v>318</v>
      </c>
    </row>
    <row r="46" spans="1:6" ht="15.6" thickTop="1" thickBot="1" x14ac:dyDescent="0.35">
      <c r="A46" s="85" t="s">
        <v>319</v>
      </c>
      <c r="B46" s="257" t="s">
        <v>339</v>
      </c>
      <c r="C46" s="257"/>
      <c r="D46" s="257"/>
      <c r="E46" s="89">
        <f>TRUNC((100/12),2)</f>
        <v>8.33</v>
      </c>
      <c r="F46" s="86">
        <f>TRUNC((F41*E46%),2)</f>
        <v>197.53</v>
      </c>
    </row>
    <row r="47" spans="1:6" ht="15.6" thickTop="1" thickBot="1" x14ac:dyDescent="0.35">
      <c r="A47" s="87" t="s">
        <v>321</v>
      </c>
      <c r="B47" s="256" t="s">
        <v>340</v>
      </c>
      <c r="C47" s="256"/>
      <c r="D47" s="256"/>
      <c r="E47" s="90">
        <f>E46/3</f>
        <v>2.7766666666666668</v>
      </c>
      <c r="F47" s="88">
        <f>TRUNC((F41*E47%),2)</f>
        <v>65.84</v>
      </c>
    </row>
    <row r="48" spans="1:6" ht="15.6" thickTop="1" thickBot="1" x14ac:dyDescent="0.35">
      <c r="A48" s="220" t="s">
        <v>341</v>
      </c>
      <c r="B48" s="221"/>
      <c r="C48" s="221"/>
      <c r="D48" s="222"/>
      <c r="E48" s="35">
        <f>SUM(E46:E47)</f>
        <v>11.106666666666667</v>
      </c>
      <c r="F48" s="16">
        <f>TRUNC((SUM(F46:F47)),2)</f>
        <v>263.37</v>
      </c>
    </row>
    <row r="49" spans="1:6" ht="15.6" thickTop="1" thickBot="1" x14ac:dyDescent="0.35">
      <c r="A49" s="259" t="s">
        <v>342</v>
      </c>
      <c r="B49" s="260"/>
      <c r="C49" s="260"/>
      <c r="D49" s="260"/>
      <c r="E49" s="260"/>
      <c r="F49" s="261"/>
    </row>
    <row r="50" spans="1:6" ht="15.6" thickTop="1" thickBot="1" x14ac:dyDescent="0.35">
      <c r="A50" s="11" t="s">
        <v>343</v>
      </c>
      <c r="B50" s="262" t="s">
        <v>344</v>
      </c>
      <c r="C50" s="263"/>
      <c r="D50" s="264"/>
      <c r="E50" s="12" t="s">
        <v>338</v>
      </c>
      <c r="F50" s="12" t="s">
        <v>318</v>
      </c>
    </row>
    <row r="51" spans="1:6" ht="15.6" thickTop="1" thickBot="1" x14ac:dyDescent="0.35">
      <c r="A51" s="85" t="s">
        <v>319</v>
      </c>
      <c r="B51" s="255" t="s">
        <v>345</v>
      </c>
      <c r="C51" s="255"/>
      <c r="D51" s="255"/>
      <c r="E51" s="91">
        <v>0.2</v>
      </c>
      <c r="F51" s="86">
        <f t="shared" ref="F51:F58" si="0">TRUNC((($F$41+$F$48)*E51),2)</f>
        <v>526.92999999999995</v>
      </c>
    </row>
    <row r="52" spans="1:6" ht="15.6" thickTop="1" thickBot="1" x14ac:dyDescent="0.35">
      <c r="A52" s="87" t="s">
        <v>321</v>
      </c>
      <c r="B52" s="256" t="s">
        <v>346</v>
      </c>
      <c r="C52" s="256"/>
      <c r="D52" s="256"/>
      <c r="E52" s="92">
        <v>2.5000000000000001E-2</v>
      </c>
      <c r="F52" s="88">
        <f t="shared" si="0"/>
        <v>65.86</v>
      </c>
    </row>
    <row r="53" spans="1:6" ht="15.6" thickTop="1" thickBot="1" x14ac:dyDescent="0.35">
      <c r="A53" s="85" t="s">
        <v>323</v>
      </c>
      <c r="B53" s="255" t="s">
        <v>347</v>
      </c>
      <c r="C53" s="255"/>
      <c r="D53" s="255"/>
      <c r="E53" s="131">
        <v>0.03</v>
      </c>
      <c r="F53" s="86">
        <f t="shared" si="0"/>
        <v>79.040000000000006</v>
      </c>
    </row>
    <row r="54" spans="1:6" ht="15.6" thickTop="1" thickBot="1" x14ac:dyDescent="0.35">
      <c r="A54" s="87" t="s">
        <v>325</v>
      </c>
      <c r="B54" s="256" t="s">
        <v>348</v>
      </c>
      <c r="C54" s="256"/>
      <c r="D54" s="256"/>
      <c r="E54" s="92">
        <v>1.4999999999999999E-2</v>
      </c>
      <c r="F54" s="88">
        <f t="shared" si="0"/>
        <v>39.520000000000003</v>
      </c>
    </row>
    <row r="55" spans="1:6" ht="15.6" thickTop="1" thickBot="1" x14ac:dyDescent="0.35">
      <c r="A55" s="85" t="s">
        <v>327</v>
      </c>
      <c r="B55" s="255" t="s">
        <v>349</v>
      </c>
      <c r="C55" s="255"/>
      <c r="D55" s="255"/>
      <c r="E55" s="91">
        <v>0.01</v>
      </c>
      <c r="F55" s="86">
        <f t="shared" si="0"/>
        <v>26.34</v>
      </c>
    </row>
    <row r="56" spans="1:6" ht="15.6" thickTop="1" thickBot="1" x14ac:dyDescent="0.35">
      <c r="A56" s="87" t="s">
        <v>329</v>
      </c>
      <c r="B56" s="256" t="s">
        <v>350</v>
      </c>
      <c r="C56" s="256"/>
      <c r="D56" s="256"/>
      <c r="E56" s="92">
        <v>6.0000000000000001E-3</v>
      </c>
      <c r="F56" s="88">
        <f t="shared" si="0"/>
        <v>15.8</v>
      </c>
    </row>
    <row r="57" spans="1:6" ht="15.6" thickTop="1" thickBot="1" x14ac:dyDescent="0.35">
      <c r="A57" s="85" t="s">
        <v>331</v>
      </c>
      <c r="B57" s="255" t="s">
        <v>351</v>
      </c>
      <c r="C57" s="255"/>
      <c r="D57" s="255"/>
      <c r="E57" s="91">
        <v>2E-3</v>
      </c>
      <c r="F57" s="86">
        <f t="shared" si="0"/>
        <v>5.26</v>
      </c>
    </row>
    <row r="58" spans="1:6" ht="15.6" thickTop="1" thickBot="1" x14ac:dyDescent="0.35">
      <c r="A58" s="87" t="s">
        <v>352</v>
      </c>
      <c r="B58" s="256" t="s">
        <v>353</v>
      </c>
      <c r="C58" s="256"/>
      <c r="D58" s="256"/>
      <c r="E58" s="92">
        <v>0.08</v>
      </c>
      <c r="F58" s="88">
        <f t="shared" si="0"/>
        <v>210.77</v>
      </c>
    </row>
    <row r="59" spans="1:6" ht="15.6" thickTop="1" thickBot="1" x14ac:dyDescent="0.35">
      <c r="A59" s="220" t="s">
        <v>354</v>
      </c>
      <c r="B59" s="221"/>
      <c r="C59" s="221"/>
      <c r="D59" s="222"/>
      <c r="E59" s="19">
        <v>0.36799999999999999</v>
      </c>
      <c r="F59" s="16">
        <f>TRUNC((SUM(F51:F58)),2)</f>
        <v>969.52</v>
      </c>
    </row>
    <row r="60" spans="1:6" ht="15.6" thickTop="1" thickBot="1" x14ac:dyDescent="0.35">
      <c r="A60" s="259" t="s">
        <v>355</v>
      </c>
      <c r="B60" s="260"/>
      <c r="C60" s="260"/>
      <c r="D60" s="260"/>
      <c r="E60" s="260"/>
      <c r="F60" s="261"/>
    </row>
    <row r="61" spans="1:6" ht="15.6" thickTop="1" thickBot="1" x14ac:dyDescent="0.35">
      <c r="A61" s="20" t="s">
        <v>356</v>
      </c>
      <c r="B61" s="259" t="s">
        <v>357</v>
      </c>
      <c r="C61" s="260"/>
      <c r="D61" s="260"/>
      <c r="E61" s="260"/>
      <c r="F61" s="261"/>
    </row>
    <row r="62" spans="1:6" ht="15.6" thickTop="1" thickBot="1" x14ac:dyDescent="0.35">
      <c r="A62" s="267" t="s">
        <v>319</v>
      </c>
      <c r="B62" s="11" t="s">
        <v>358</v>
      </c>
      <c r="C62" s="11" t="s">
        <v>359</v>
      </c>
      <c r="D62" s="11" t="s">
        <v>360</v>
      </c>
      <c r="E62" s="11" t="s">
        <v>361</v>
      </c>
      <c r="F62" s="87" t="s">
        <v>318</v>
      </c>
    </row>
    <row r="63" spans="1:6" ht="15.6" thickTop="1" thickBot="1" x14ac:dyDescent="0.35">
      <c r="A63" s="268"/>
      <c r="B63" s="15">
        <f>'Salários.VA.VT.QteDias'!D19</f>
        <v>4</v>
      </c>
      <c r="C63" s="11">
        <v>2</v>
      </c>
      <c r="D63" s="11">
        <f>'Salários.VA.VT.QteDias'!C36</f>
        <v>21</v>
      </c>
      <c r="E63" s="15">
        <f>TRUNC(($F$34*6%),2)</f>
        <v>142.27000000000001</v>
      </c>
      <c r="F63" s="88">
        <f>TRUNC(IF(E63&gt;=168,0,((B63*C63*D63)-E63)),2)</f>
        <v>25.73</v>
      </c>
    </row>
    <row r="64" spans="1:6" ht="15.6" thickTop="1" thickBot="1" x14ac:dyDescent="0.35">
      <c r="A64" s="265" t="s">
        <v>321</v>
      </c>
      <c r="B64" s="269" t="s">
        <v>362</v>
      </c>
      <c r="C64" s="270"/>
      <c r="D64" s="13" t="s">
        <v>360</v>
      </c>
      <c r="E64" s="13" t="s">
        <v>361</v>
      </c>
      <c r="F64" s="85" t="s">
        <v>318</v>
      </c>
    </row>
    <row r="65" spans="1:6" ht="15.6" thickTop="1" thickBot="1" x14ac:dyDescent="0.35">
      <c r="A65" s="266"/>
      <c r="B65" s="271">
        <f>'Salários.VA.VT.QteDias'!C19</f>
        <v>26.7</v>
      </c>
      <c r="C65" s="270"/>
      <c r="D65" s="13">
        <f>'Salários.VA.VT.QteDias'!C36</f>
        <v>21</v>
      </c>
      <c r="E65" s="14">
        <f>TRUNC(0.1*(B65*D65),2)</f>
        <v>56.07</v>
      </c>
      <c r="F65" s="86">
        <f>TRUNC(((B65*D65)-E65),2)</f>
        <v>504.63</v>
      </c>
    </row>
    <row r="66" spans="1:6" ht="15.6" thickTop="1" thickBot="1" x14ac:dyDescent="0.35">
      <c r="A66" s="267" t="s">
        <v>323</v>
      </c>
      <c r="B66" s="256" t="s">
        <v>363</v>
      </c>
      <c r="C66" s="256"/>
      <c r="D66" s="256"/>
      <c r="E66" s="256"/>
      <c r="F66" s="87" t="s">
        <v>318</v>
      </c>
    </row>
    <row r="67" spans="1:6" ht="15.6" thickTop="1" thickBot="1" x14ac:dyDescent="0.35">
      <c r="A67" s="268"/>
      <c r="B67" s="256"/>
      <c r="C67" s="256"/>
      <c r="D67" s="256"/>
      <c r="E67" s="256"/>
      <c r="F67" s="129">
        <v>6</v>
      </c>
    </row>
    <row r="68" spans="1:6" ht="15.6" thickTop="1" thickBot="1" x14ac:dyDescent="0.35">
      <c r="A68" s="265" t="s">
        <v>325</v>
      </c>
      <c r="B68" s="255" t="s">
        <v>364</v>
      </c>
      <c r="C68" s="255"/>
      <c r="D68" s="255"/>
      <c r="E68" s="255"/>
      <c r="F68" s="85" t="s">
        <v>318</v>
      </c>
    </row>
    <row r="69" spans="1:6" ht="15.6" thickTop="1" thickBot="1" x14ac:dyDescent="0.35">
      <c r="A69" s="266"/>
      <c r="B69" s="255"/>
      <c r="C69" s="255"/>
      <c r="D69" s="255"/>
      <c r="E69" s="255"/>
      <c r="F69" s="130">
        <v>19.899999999999999</v>
      </c>
    </row>
    <row r="70" spans="1:6" ht="15.6" thickTop="1" thickBot="1" x14ac:dyDescent="0.35">
      <c r="A70" s="267" t="s">
        <v>327</v>
      </c>
      <c r="B70" s="256" t="s">
        <v>332</v>
      </c>
      <c r="C70" s="256"/>
      <c r="D70" s="256"/>
      <c r="E70" s="256"/>
      <c r="F70" s="87" t="s">
        <v>318</v>
      </c>
    </row>
    <row r="71" spans="1:6" ht="15.6" thickTop="1" thickBot="1" x14ac:dyDescent="0.35">
      <c r="A71" s="268"/>
      <c r="B71" s="256"/>
      <c r="C71" s="256"/>
      <c r="D71" s="256"/>
      <c r="E71" s="256"/>
      <c r="F71" s="129">
        <v>0</v>
      </c>
    </row>
    <row r="72" spans="1:6" ht="15.6" thickTop="1" thickBot="1" x14ac:dyDescent="0.35">
      <c r="A72" s="220" t="s">
        <v>365</v>
      </c>
      <c r="B72" s="221"/>
      <c r="C72" s="221"/>
      <c r="D72" s="221"/>
      <c r="E72" s="222"/>
      <c r="F72" s="16">
        <f>TRUNC(SUM(F63,F65,F67,F69,F71),2)</f>
        <v>556.26</v>
      </c>
    </row>
    <row r="73" spans="1:6" ht="15.6" thickTop="1" thickBot="1" x14ac:dyDescent="0.35">
      <c r="A73" s="259" t="s">
        <v>366</v>
      </c>
      <c r="B73" s="260"/>
      <c r="C73" s="260"/>
      <c r="D73" s="260"/>
      <c r="E73" s="260"/>
      <c r="F73" s="261"/>
    </row>
    <row r="74" spans="1:6" ht="15.6" thickTop="1" thickBot="1" x14ac:dyDescent="0.35">
      <c r="A74" s="11" t="s">
        <v>367</v>
      </c>
      <c r="B74" s="275" t="s">
        <v>368</v>
      </c>
      <c r="C74" s="276"/>
      <c r="D74" s="276"/>
      <c r="E74" s="277"/>
      <c r="F74" s="11" t="s">
        <v>318</v>
      </c>
    </row>
    <row r="75" spans="1:6" ht="15.6" thickTop="1" thickBot="1" x14ac:dyDescent="0.35">
      <c r="A75" s="13" t="s">
        <v>336</v>
      </c>
      <c r="B75" s="278" t="s">
        <v>369</v>
      </c>
      <c r="C75" s="279"/>
      <c r="D75" s="279"/>
      <c r="E75" s="280"/>
      <c r="F75" s="14">
        <f>$F$48</f>
        <v>263.37</v>
      </c>
    </row>
    <row r="76" spans="1:6" ht="15.6" thickTop="1" thickBot="1" x14ac:dyDescent="0.35">
      <c r="A76" s="11" t="s">
        <v>343</v>
      </c>
      <c r="B76" s="275" t="s">
        <v>370</v>
      </c>
      <c r="C76" s="276"/>
      <c r="D76" s="276"/>
      <c r="E76" s="277"/>
      <c r="F76" s="15">
        <f>$F$59</f>
        <v>969.52</v>
      </c>
    </row>
    <row r="77" spans="1:6" ht="15.6" thickTop="1" thickBot="1" x14ac:dyDescent="0.35">
      <c r="A77" s="13" t="s">
        <v>356</v>
      </c>
      <c r="B77" s="278" t="s">
        <v>357</v>
      </c>
      <c r="C77" s="279"/>
      <c r="D77" s="279"/>
      <c r="E77" s="280"/>
      <c r="F77" s="14">
        <f>$F$72</f>
        <v>556.26</v>
      </c>
    </row>
    <row r="78" spans="1:6" ht="15.6" thickTop="1" thickBot="1" x14ac:dyDescent="0.35">
      <c r="A78" s="220" t="s">
        <v>371</v>
      </c>
      <c r="B78" s="221"/>
      <c r="C78" s="221"/>
      <c r="D78" s="221"/>
      <c r="E78" s="222"/>
      <c r="F78" s="16">
        <f>TRUNC(SUM(F75:F77),2)</f>
        <v>1789.15</v>
      </c>
    </row>
    <row r="79" spans="1:6" ht="15.6" thickTop="1" thickBot="1" x14ac:dyDescent="0.35">
      <c r="A79" s="217"/>
      <c r="B79" s="218"/>
      <c r="C79" s="218"/>
      <c r="D79" s="218"/>
      <c r="E79" s="218"/>
      <c r="F79" s="219"/>
    </row>
    <row r="80" spans="1:6" ht="15.6" thickTop="1" thickBot="1" x14ac:dyDescent="0.35">
      <c r="A80" s="220" t="s">
        <v>372</v>
      </c>
      <c r="B80" s="221"/>
      <c r="C80" s="221"/>
      <c r="D80" s="221"/>
      <c r="E80" s="221"/>
      <c r="F80" s="222"/>
    </row>
    <row r="81" spans="1:6" ht="15.6" thickTop="1" thickBot="1" x14ac:dyDescent="0.35">
      <c r="A81" s="11">
        <v>3</v>
      </c>
      <c r="B81" s="262" t="s">
        <v>373</v>
      </c>
      <c r="C81" s="263"/>
      <c r="D81" s="264"/>
      <c r="E81" s="12" t="s">
        <v>338</v>
      </c>
      <c r="F81" s="12" t="s">
        <v>318</v>
      </c>
    </row>
    <row r="82" spans="1:6" ht="15.6" thickTop="1" thickBot="1" x14ac:dyDescent="0.35">
      <c r="A82" s="85" t="s">
        <v>319</v>
      </c>
      <c r="B82" s="255" t="s">
        <v>374</v>
      </c>
      <c r="C82" s="255"/>
      <c r="D82" s="255"/>
      <c r="E82" s="131">
        <f>(56.24%)*5.55%*(1/12)</f>
        <v>2.6010999999999999E-3</v>
      </c>
      <c r="F82" s="86">
        <f>TRUNC((($F$41+$F$48)*E82),2)</f>
        <v>6.85</v>
      </c>
    </row>
    <row r="83" spans="1:6" ht="15.6" thickTop="1" thickBot="1" x14ac:dyDescent="0.35">
      <c r="A83" s="87" t="s">
        <v>321</v>
      </c>
      <c r="B83" s="272" t="s">
        <v>507</v>
      </c>
      <c r="C83" s="273"/>
      <c r="D83" s="274"/>
      <c r="E83" s="132">
        <f>(8%*0.29%)</f>
        <v>2.32E-4</v>
      </c>
      <c r="F83" s="93">
        <f>TRUNC((($F$41+$F$48)*E83),2)</f>
        <v>0.61</v>
      </c>
    </row>
    <row r="84" spans="1:6" ht="15.6" thickTop="1" thickBot="1" x14ac:dyDescent="0.35">
      <c r="A84" s="85" t="s">
        <v>323</v>
      </c>
      <c r="B84" s="281" t="s">
        <v>508</v>
      </c>
      <c r="C84" s="282"/>
      <c r="D84" s="283"/>
      <c r="E84" s="131">
        <f>(56.24%)*5.55%*40%*8%</f>
        <v>9.9882240000000004E-4</v>
      </c>
      <c r="F84" s="86">
        <f>TRUNC((($F$41+$F$48)*E84),2)</f>
        <v>2.63</v>
      </c>
    </row>
    <row r="85" spans="1:6" ht="15.6" thickTop="1" thickBot="1" x14ac:dyDescent="0.35">
      <c r="A85" s="87" t="s">
        <v>325</v>
      </c>
      <c r="B85" s="284" t="s">
        <v>375</v>
      </c>
      <c r="C85" s="285"/>
      <c r="D85" s="286"/>
      <c r="E85" s="132">
        <f>((56.24%)*94.45%*(7/30)/12)</f>
        <v>1.0328632222222222E-2</v>
      </c>
      <c r="F85" s="93">
        <f>TRUNC((($F$41+$F$48)*E85),2)</f>
        <v>27.21</v>
      </c>
    </row>
    <row r="86" spans="1:6" ht="15.6" thickTop="1" thickBot="1" x14ac:dyDescent="0.35">
      <c r="A86" s="86" t="s">
        <v>327</v>
      </c>
      <c r="B86" s="287" t="s">
        <v>505</v>
      </c>
      <c r="C86" s="288"/>
      <c r="D86" s="289"/>
      <c r="E86" s="131">
        <f>1.03%*36.8%</f>
        <v>3.7904000000000002E-3</v>
      </c>
      <c r="F86" s="86">
        <f>TRUNC((($F$41+$F$48)*E86),2)</f>
        <v>9.98</v>
      </c>
    </row>
    <row r="87" spans="1:6" ht="15.6" thickTop="1" thickBot="1" x14ac:dyDescent="0.35">
      <c r="A87" s="87" t="s">
        <v>327</v>
      </c>
      <c r="B87" s="272" t="s">
        <v>506</v>
      </c>
      <c r="C87" s="273"/>
      <c r="D87" s="274"/>
      <c r="E87" s="132">
        <f>(56.24%)*94.45%*40%*8%</f>
        <v>1.6997977600000002E-2</v>
      </c>
      <c r="F87" s="93">
        <f>TRUNC((($F$41+F48)*E87),2)</f>
        <v>44.78</v>
      </c>
    </row>
    <row r="88" spans="1:6" ht="15.6" thickTop="1" thickBot="1" x14ac:dyDescent="0.35">
      <c r="A88" s="220" t="s">
        <v>376</v>
      </c>
      <c r="B88" s="221"/>
      <c r="C88" s="221"/>
      <c r="D88" s="222"/>
      <c r="E88" s="19">
        <f>SUM(E82:E87)</f>
        <v>3.4948932222222229E-2</v>
      </c>
      <c r="F88" s="16">
        <f>TRUNC(SUM(F82:F87),2)</f>
        <v>92.06</v>
      </c>
    </row>
    <row r="89" spans="1:6" ht="15.6" thickTop="1" thickBot="1" x14ac:dyDescent="0.35">
      <c r="A89" s="217"/>
      <c r="B89" s="218"/>
      <c r="C89" s="218"/>
      <c r="D89" s="218"/>
      <c r="E89" s="218"/>
      <c r="F89" s="219"/>
    </row>
    <row r="90" spans="1:6" ht="15.6" thickTop="1" thickBot="1" x14ac:dyDescent="0.35">
      <c r="A90" s="220" t="s">
        <v>377</v>
      </c>
      <c r="B90" s="221"/>
      <c r="C90" s="221"/>
      <c r="D90" s="221"/>
      <c r="E90" s="221"/>
      <c r="F90" s="222"/>
    </row>
    <row r="91" spans="1:6" ht="15.6" thickTop="1" thickBot="1" x14ac:dyDescent="0.35">
      <c r="A91" s="259" t="s">
        <v>378</v>
      </c>
      <c r="B91" s="260"/>
      <c r="C91" s="260"/>
      <c r="D91" s="260"/>
      <c r="E91" s="260"/>
      <c r="F91" s="261"/>
    </row>
    <row r="92" spans="1:6" ht="15.6" thickTop="1" thickBot="1" x14ac:dyDescent="0.35">
      <c r="A92" s="11" t="s">
        <v>379</v>
      </c>
      <c r="B92" s="262" t="s">
        <v>380</v>
      </c>
      <c r="C92" s="263"/>
      <c r="D92" s="264"/>
      <c r="E92" s="12" t="s">
        <v>338</v>
      </c>
      <c r="F92" s="12" t="s">
        <v>318</v>
      </c>
    </row>
    <row r="93" spans="1:6" ht="15.6" thickTop="1" thickBot="1" x14ac:dyDescent="0.35">
      <c r="A93" s="85" t="s">
        <v>319</v>
      </c>
      <c r="B93" s="255" t="s">
        <v>381</v>
      </c>
      <c r="C93" s="255"/>
      <c r="D93" s="255"/>
      <c r="E93" s="91"/>
      <c r="F93" s="86">
        <f>TRUNC((($F$41+$F$78+$E$88)*E98),2)</f>
        <v>0</v>
      </c>
    </row>
    <row r="94" spans="1:6" ht="15.6" thickTop="1" thickBot="1" x14ac:dyDescent="0.35">
      <c r="A94" s="87" t="s">
        <v>321</v>
      </c>
      <c r="B94" s="256" t="s">
        <v>382</v>
      </c>
      <c r="C94" s="256"/>
      <c r="D94" s="256"/>
      <c r="E94" s="132">
        <f>(8/30)/12</f>
        <v>2.2222222222222223E-2</v>
      </c>
      <c r="F94" s="88">
        <f>TRUNC((($F$41+$F$78+$F$88)*E94),2)</f>
        <v>94.5</v>
      </c>
    </row>
    <row r="95" spans="1:6" ht="15.6" thickTop="1" thickBot="1" x14ac:dyDescent="0.35">
      <c r="A95" s="85" t="s">
        <v>323</v>
      </c>
      <c r="B95" s="255" t="s">
        <v>383</v>
      </c>
      <c r="C95" s="255"/>
      <c r="D95" s="255"/>
      <c r="E95" s="131">
        <f>(((20/30)/12)*1.416%*45.22%)</f>
        <v>3.557306666666666E-4</v>
      </c>
      <c r="F95" s="86">
        <f>TRUNC((($F$41+$F$78+$F$88)*E95),2)</f>
        <v>1.51</v>
      </c>
    </row>
    <row r="96" spans="1:6" ht="15.6" thickTop="1" thickBot="1" x14ac:dyDescent="0.35">
      <c r="A96" s="87" t="s">
        <v>325</v>
      </c>
      <c r="B96" s="256" t="s">
        <v>384</v>
      </c>
      <c r="C96" s="256"/>
      <c r="D96" s="256"/>
      <c r="E96" s="132">
        <f>((15/30)/12)*0.44%</f>
        <v>1.8333333333333334E-4</v>
      </c>
      <c r="F96" s="88">
        <f>TRUNC((($F$41+$F$78+$F$88)*E96),2)</f>
        <v>0.77</v>
      </c>
    </row>
    <row r="97" spans="1:6" ht="15.6" thickTop="1" thickBot="1" x14ac:dyDescent="0.35">
      <c r="A97" s="85" t="s">
        <v>327</v>
      </c>
      <c r="B97" s="255" t="s">
        <v>385</v>
      </c>
      <c r="C97" s="255"/>
      <c r="D97" s="255"/>
      <c r="E97" s="131">
        <f>(((180/30)/12*1.416%*54.78%*36.8%))</f>
        <v>1.4272600319999999E-3</v>
      </c>
      <c r="F97" s="86">
        <f>TRUNC((($F$41+F78+F88)*E97),2)</f>
        <v>6.06</v>
      </c>
    </row>
    <row r="98" spans="1:6" ht="15.6" thickTop="1" thickBot="1" x14ac:dyDescent="0.35">
      <c r="A98" s="87" t="s">
        <v>329</v>
      </c>
      <c r="B98" s="256" t="s">
        <v>386</v>
      </c>
      <c r="C98" s="256"/>
      <c r="D98" s="256"/>
      <c r="E98" s="132">
        <v>0</v>
      </c>
      <c r="F98" s="88">
        <f>TRUNC((($F$41+$F$78+$E$88)*E98),2)</f>
        <v>0</v>
      </c>
    </row>
    <row r="99" spans="1:6" ht="15.6" thickTop="1" thickBot="1" x14ac:dyDescent="0.35">
      <c r="A99" s="220" t="s">
        <v>387</v>
      </c>
      <c r="B99" s="221"/>
      <c r="C99" s="221"/>
      <c r="D99" s="222"/>
      <c r="E99" s="19">
        <f>SUM(E93:E98)</f>
        <v>2.4188546254222225E-2</v>
      </c>
      <c r="F99" s="16">
        <f>TRUNC(SUM(F93:F98),2)</f>
        <v>102.84</v>
      </c>
    </row>
    <row r="100" spans="1:6" ht="15.6" thickTop="1" thickBot="1" x14ac:dyDescent="0.35">
      <c r="A100" s="259" t="s">
        <v>388</v>
      </c>
      <c r="B100" s="260"/>
      <c r="C100" s="260"/>
      <c r="D100" s="260"/>
      <c r="E100" s="260"/>
      <c r="F100" s="261"/>
    </row>
    <row r="101" spans="1:6" ht="15.6" thickTop="1" thickBot="1" x14ac:dyDescent="0.35">
      <c r="A101" s="11" t="s">
        <v>389</v>
      </c>
      <c r="B101" s="262" t="s">
        <v>390</v>
      </c>
      <c r="C101" s="263"/>
      <c r="D101" s="264"/>
      <c r="E101" s="12" t="s">
        <v>338</v>
      </c>
      <c r="F101" s="12" t="s">
        <v>318</v>
      </c>
    </row>
    <row r="102" spans="1:6" ht="15.6" thickTop="1" thickBot="1" x14ac:dyDescent="0.35">
      <c r="A102" s="85" t="s">
        <v>319</v>
      </c>
      <c r="B102" s="255" t="s">
        <v>391</v>
      </c>
      <c r="C102" s="255"/>
      <c r="D102" s="255"/>
      <c r="E102" s="94" t="s">
        <v>392</v>
      </c>
      <c r="F102" s="86">
        <v>0</v>
      </c>
    </row>
    <row r="103" spans="1:6" ht="15.6" thickTop="1" thickBot="1" x14ac:dyDescent="0.35">
      <c r="A103" s="259" t="s">
        <v>393</v>
      </c>
      <c r="B103" s="260"/>
      <c r="C103" s="260"/>
      <c r="D103" s="260"/>
      <c r="E103" s="260"/>
      <c r="F103" s="293"/>
    </row>
    <row r="104" spans="1:6" ht="15.6" thickTop="1" thickBot="1" x14ac:dyDescent="0.35">
      <c r="A104" s="11" t="s">
        <v>394</v>
      </c>
      <c r="B104" s="262" t="s">
        <v>395</v>
      </c>
      <c r="C104" s="263"/>
      <c r="D104" s="263"/>
      <c r="E104" s="264"/>
      <c r="F104" s="12" t="s">
        <v>318</v>
      </c>
    </row>
    <row r="105" spans="1:6" ht="15.6" thickTop="1" thickBot="1" x14ac:dyDescent="0.35">
      <c r="A105" s="13" t="s">
        <v>379</v>
      </c>
      <c r="B105" s="290" t="s">
        <v>380</v>
      </c>
      <c r="C105" s="291"/>
      <c r="D105" s="291"/>
      <c r="E105" s="292"/>
      <c r="F105" s="14">
        <f>$F$99</f>
        <v>102.84</v>
      </c>
    </row>
    <row r="106" spans="1:6" ht="15.6" thickTop="1" thickBot="1" x14ac:dyDescent="0.35">
      <c r="A106" s="11" t="s">
        <v>389</v>
      </c>
      <c r="B106" s="262" t="s">
        <v>390</v>
      </c>
      <c r="C106" s="263"/>
      <c r="D106" s="263"/>
      <c r="E106" s="264"/>
      <c r="F106" s="15">
        <v>0</v>
      </c>
    </row>
    <row r="107" spans="1:6" ht="15.6" thickTop="1" thickBot="1" x14ac:dyDescent="0.35">
      <c r="A107" s="220" t="s">
        <v>396</v>
      </c>
      <c r="B107" s="221"/>
      <c r="C107" s="221"/>
      <c r="D107" s="221"/>
      <c r="E107" s="222"/>
      <c r="F107" s="16">
        <f>TRUNC(SUM(F105+F106),2)</f>
        <v>102.84</v>
      </c>
    </row>
    <row r="108" spans="1:6" ht="15.6" thickTop="1" thickBot="1" x14ac:dyDescent="0.35">
      <c r="A108" s="217"/>
      <c r="B108" s="218"/>
      <c r="C108" s="218"/>
      <c r="D108" s="218"/>
      <c r="E108" s="218"/>
      <c r="F108" s="219"/>
    </row>
    <row r="109" spans="1:6" ht="15.6" thickTop="1" thickBot="1" x14ac:dyDescent="0.35">
      <c r="A109" s="220" t="s">
        <v>397</v>
      </c>
      <c r="B109" s="221"/>
      <c r="C109" s="221"/>
      <c r="D109" s="221"/>
      <c r="E109" s="221"/>
      <c r="F109" s="222"/>
    </row>
    <row r="110" spans="1:6" ht="15.6" thickTop="1" thickBot="1" x14ac:dyDescent="0.35">
      <c r="A110" s="11">
        <v>5</v>
      </c>
      <c r="B110" s="262" t="s">
        <v>398</v>
      </c>
      <c r="C110" s="263"/>
      <c r="D110" s="263"/>
      <c r="E110" s="264"/>
      <c r="F110" s="12" t="s">
        <v>318</v>
      </c>
    </row>
    <row r="111" spans="1:6" ht="15.6" thickTop="1" thickBot="1" x14ac:dyDescent="0.35">
      <c r="A111" s="13" t="s">
        <v>319</v>
      </c>
      <c r="B111" s="290" t="s">
        <v>19</v>
      </c>
      <c r="C111" s="291"/>
      <c r="D111" s="291"/>
      <c r="E111" s="292"/>
      <c r="F111" s="14">
        <f>Unif!I23</f>
        <v>173.01</v>
      </c>
    </row>
    <row r="112" spans="1:6" ht="15.6" thickTop="1" thickBot="1" x14ac:dyDescent="0.35">
      <c r="A112" s="11" t="s">
        <v>321</v>
      </c>
      <c r="B112" s="262" t="s">
        <v>399</v>
      </c>
      <c r="C112" s="263"/>
      <c r="D112" s="263"/>
      <c r="E112" s="264"/>
      <c r="F112" s="88">
        <v>0</v>
      </c>
    </row>
    <row r="113" spans="1:6" ht="15.6" thickTop="1" thickBot="1" x14ac:dyDescent="0.35">
      <c r="A113" s="13" t="s">
        <v>323</v>
      </c>
      <c r="B113" s="290" t="s">
        <v>400</v>
      </c>
      <c r="C113" s="291"/>
      <c r="D113" s="291"/>
      <c r="E113" s="292"/>
      <c r="F113" s="86">
        <v>0</v>
      </c>
    </row>
    <row r="114" spans="1:6" ht="15.6" thickTop="1" thickBot="1" x14ac:dyDescent="0.35">
      <c r="A114" s="11" t="s">
        <v>325</v>
      </c>
      <c r="B114" s="262" t="s">
        <v>401</v>
      </c>
      <c r="C114" s="263"/>
      <c r="D114" s="263"/>
      <c r="E114" s="264"/>
      <c r="F114" s="88">
        <v>0</v>
      </c>
    </row>
    <row r="115" spans="1:6" ht="15.6" thickTop="1" thickBot="1" x14ac:dyDescent="0.35">
      <c r="A115" s="220" t="s">
        <v>402</v>
      </c>
      <c r="B115" s="221"/>
      <c r="C115" s="221"/>
      <c r="D115" s="221"/>
      <c r="E115" s="222"/>
      <c r="F115" s="16">
        <f>TRUNC(SUM(F111:F114),2)</f>
        <v>173.01</v>
      </c>
    </row>
    <row r="116" spans="1:6" ht="15.6" thickTop="1" thickBot="1" x14ac:dyDescent="0.35">
      <c r="A116" s="217"/>
      <c r="B116" s="218"/>
      <c r="C116" s="218"/>
      <c r="D116" s="218"/>
      <c r="E116" s="218"/>
      <c r="F116" s="219"/>
    </row>
    <row r="117" spans="1:6" ht="15.6" thickTop="1" thickBot="1" x14ac:dyDescent="0.35">
      <c r="A117" s="220" t="s">
        <v>403</v>
      </c>
      <c r="B117" s="221"/>
      <c r="C117" s="221"/>
      <c r="D117" s="221"/>
      <c r="E117" s="221"/>
      <c r="F117" s="222"/>
    </row>
    <row r="118" spans="1:6" ht="15.6" thickTop="1" thickBot="1" x14ac:dyDescent="0.35">
      <c r="A118" s="223" t="s">
        <v>404</v>
      </c>
      <c r="B118" s="243"/>
      <c r="C118" s="243"/>
      <c r="D118" s="224"/>
      <c r="E118" s="12" t="s">
        <v>338</v>
      </c>
      <c r="F118" s="95" t="s">
        <v>318</v>
      </c>
    </row>
    <row r="119" spans="1:6" ht="15.6" thickTop="1" thickBot="1" x14ac:dyDescent="0.35">
      <c r="A119" s="13" t="s">
        <v>319</v>
      </c>
      <c r="B119" s="290" t="s">
        <v>405</v>
      </c>
      <c r="C119" s="291"/>
      <c r="D119" s="292"/>
      <c r="E119" s="17">
        <f>'Salários.VA.VT.QteDias'!$D$46</f>
        <v>4.7300000000000002E-2</v>
      </c>
      <c r="F119" s="96">
        <f>TRUNC(($F$134*$E$119),2)</f>
        <v>214.19</v>
      </c>
    </row>
    <row r="120" spans="1:6" ht="15.6" thickTop="1" thickBot="1" x14ac:dyDescent="0.35">
      <c r="A120" s="11" t="s">
        <v>321</v>
      </c>
      <c r="B120" s="262" t="s">
        <v>406</v>
      </c>
      <c r="C120" s="263"/>
      <c r="D120" s="264"/>
      <c r="E120" s="18">
        <f>'Salários.VA.VT.QteDias'!$D$47</f>
        <v>5.57E-2</v>
      </c>
      <c r="F120" s="88">
        <f>TRUNC((($F$134+$F$119)*E120),2)</f>
        <v>264.16000000000003</v>
      </c>
    </row>
    <row r="121" spans="1:6" ht="15.6" thickTop="1" thickBot="1" x14ac:dyDescent="0.35">
      <c r="A121" s="228" t="s">
        <v>407</v>
      </c>
      <c r="B121" s="240"/>
      <c r="C121" s="240"/>
      <c r="D121" s="229"/>
      <c r="E121" s="21" t="s">
        <v>338</v>
      </c>
      <c r="F121" s="97" t="s">
        <v>318</v>
      </c>
    </row>
    <row r="122" spans="1:6" ht="15.6" thickTop="1" thickBot="1" x14ac:dyDescent="0.35">
      <c r="A122" s="11" t="s">
        <v>319</v>
      </c>
      <c r="B122" s="262" t="s">
        <v>46</v>
      </c>
      <c r="C122" s="263"/>
      <c r="D122" s="264"/>
      <c r="E122" s="133">
        <v>6.4999999999999997E-3</v>
      </c>
      <c r="F122" s="88">
        <f>TRUNC(((($F$134+$F$119+$F$120)/0.9135)*E122),2)</f>
        <v>35.619999999999997</v>
      </c>
    </row>
    <row r="123" spans="1:6" ht="15.6" thickTop="1" thickBot="1" x14ac:dyDescent="0.35">
      <c r="A123" s="22" t="s">
        <v>321</v>
      </c>
      <c r="B123" s="294" t="s">
        <v>408</v>
      </c>
      <c r="C123" s="295"/>
      <c r="D123" s="296"/>
      <c r="E123" s="133">
        <v>0.03</v>
      </c>
      <c r="F123" s="96">
        <f>TRUNC(((($F$134+$F$119+$F$120)/0.9135)*E123),2)</f>
        <v>164.42</v>
      </c>
    </row>
    <row r="124" spans="1:6" ht="15.6" thickTop="1" thickBot="1" x14ac:dyDescent="0.35">
      <c r="A124" s="11" t="s">
        <v>323</v>
      </c>
      <c r="B124" s="262" t="s">
        <v>48</v>
      </c>
      <c r="C124" s="263"/>
      <c r="D124" s="264"/>
      <c r="E124" s="133">
        <v>0.05</v>
      </c>
      <c r="F124" s="88">
        <f>TRUNC(((($F$134+$F$119+$F$120)/0.9135)*E124),2)</f>
        <v>274.04000000000002</v>
      </c>
    </row>
    <row r="125" spans="1:6" ht="15.6" thickTop="1" thickBot="1" x14ac:dyDescent="0.35">
      <c r="A125" s="220" t="s">
        <v>409</v>
      </c>
      <c r="B125" s="221"/>
      <c r="C125" s="221"/>
      <c r="D125" s="222"/>
      <c r="E125" s="19">
        <f>SUM(E122:E124)</f>
        <v>8.6499999999999994E-2</v>
      </c>
      <c r="F125" s="16">
        <f>TRUNC(SUM($F$119,$F$120,$F$122,$F$123,$F$124),2)</f>
        <v>952.43</v>
      </c>
    </row>
    <row r="126" spans="1:6" ht="15.6" thickTop="1" thickBot="1" x14ac:dyDescent="0.35">
      <c r="A126" s="217"/>
      <c r="B126" s="218"/>
      <c r="C126" s="218"/>
      <c r="D126" s="218"/>
      <c r="E126" s="218"/>
      <c r="F126" s="219"/>
    </row>
    <row r="127" spans="1:6" ht="15.6" thickTop="1" thickBot="1" x14ac:dyDescent="0.35">
      <c r="A127" s="301" t="s">
        <v>410</v>
      </c>
      <c r="B127" s="302"/>
      <c r="C127" s="302"/>
      <c r="D127" s="302"/>
      <c r="E127" s="302"/>
      <c r="F127" s="303"/>
    </row>
    <row r="128" spans="1:6" ht="15.6" thickTop="1" thickBot="1" x14ac:dyDescent="0.35">
      <c r="A128" s="259" t="s">
        <v>411</v>
      </c>
      <c r="B128" s="260"/>
      <c r="C128" s="260"/>
      <c r="D128" s="260"/>
      <c r="E128" s="261"/>
      <c r="F128" s="23" t="s">
        <v>318</v>
      </c>
    </row>
    <row r="129" spans="1:6" ht="15.6" thickTop="1" thickBot="1" x14ac:dyDescent="0.35">
      <c r="A129" s="11" t="s">
        <v>319</v>
      </c>
      <c r="B129" s="262" t="s">
        <v>412</v>
      </c>
      <c r="C129" s="263"/>
      <c r="D129" s="263"/>
      <c r="E129" s="264"/>
      <c r="F129" s="15">
        <f>$F$41</f>
        <v>2371.3200000000002</v>
      </c>
    </row>
    <row r="130" spans="1:6" ht="15.6" thickTop="1" thickBot="1" x14ac:dyDescent="0.35">
      <c r="A130" s="13" t="s">
        <v>321</v>
      </c>
      <c r="B130" s="290" t="s">
        <v>413</v>
      </c>
      <c r="C130" s="291"/>
      <c r="D130" s="291"/>
      <c r="E130" s="292"/>
      <c r="F130" s="14">
        <f>$F$78</f>
        <v>1789.15</v>
      </c>
    </row>
    <row r="131" spans="1:6" ht="15.6" thickTop="1" thickBot="1" x14ac:dyDescent="0.35">
      <c r="A131" s="11" t="s">
        <v>323</v>
      </c>
      <c r="B131" s="262" t="s">
        <v>414</v>
      </c>
      <c r="C131" s="263"/>
      <c r="D131" s="263"/>
      <c r="E131" s="264"/>
      <c r="F131" s="15">
        <f>$F$88</f>
        <v>92.06</v>
      </c>
    </row>
    <row r="132" spans="1:6" ht="15.6" thickTop="1" thickBot="1" x14ac:dyDescent="0.35">
      <c r="A132" s="13" t="s">
        <v>325</v>
      </c>
      <c r="B132" s="290" t="s">
        <v>415</v>
      </c>
      <c r="C132" s="291"/>
      <c r="D132" s="291"/>
      <c r="E132" s="292"/>
      <c r="F132" s="14">
        <f>$F$107</f>
        <v>102.84</v>
      </c>
    </row>
    <row r="133" spans="1:6" ht="15.6" thickTop="1" thickBot="1" x14ac:dyDescent="0.35">
      <c r="A133" s="11" t="s">
        <v>327</v>
      </c>
      <c r="B133" s="262" t="s">
        <v>416</v>
      </c>
      <c r="C133" s="263"/>
      <c r="D133" s="263"/>
      <c r="E133" s="264"/>
      <c r="F133" s="15">
        <f>$F$115</f>
        <v>173.01</v>
      </c>
    </row>
    <row r="134" spans="1:6" ht="15.6" thickTop="1" thickBot="1" x14ac:dyDescent="0.35">
      <c r="A134" s="269" t="s">
        <v>417</v>
      </c>
      <c r="B134" s="300"/>
      <c r="C134" s="300"/>
      <c r="D134" s="300"/>
      <c r="E134" s="270"/>
      <c r="F134" s="14">
        <f>TRUNC(SUM(F129:F133),2)</f>
        <v>4528.38</v>
      </c>
    </row>
    <row r="135" spans="1:6" ht="15.6" thickTop="1" thickBot="1" x14ac:dyDescent="0.35">
      <c r="A135" s="11" t="s">
        <v>329</v>
      </c>
      <c r="B135" s="252" t="s">
        <v>418</v>
      </c>
      <c r="C135" s="253"/>
      <c r="D135" s="253"/>
      <c r="E135" s="254"/>
      <c r="F135" s="15">
        <f>TRUNC(($F$125),2)</f>
        <v>952.43</v>
      </c>
    </row>
    <row r="136" spans="1:6" ht="16.5" customHeight="1" thickTop="1" thickBot="1" x14ac:dyDescent="0.35">
      <c r="A136" s="269" t="s">
        <v>419</v>
      </c>
      <c r="B136" s="300"/>
      <c r="C136" s="300"/>
      <c r="D136" s="300"/>
      <c r="E136" s="270"/>
      <c r="F136" s="14">
        <f>TRUNC(($F$134 + $F$135),2)</f>
        <v>5480.81</v>
      </c>
    </row>
    <row r="137" spans="1:6" ht="16.5" customHeight="1" thickTop="1" thickBot="1" x14ac:dyDescent="0.35">
      <c r="A137" s="217"/>
      <c r="B137" s="218"/>
      <c r="C137" s="218"/>
      <c r="D137" s="218"/>
      <c r="E137" s="218"/>
      <c r="F137" s="219"/>
    </row>
    <row r="138" spans="1:6" ht="15.6" thickTop="1" thickBot="1" x14ac:dyDescent="0.35">
      <c r="A138" s="297" t="s">
        <v>420</v>
      </c>
      <c r="B138" s="298"/>
      <c r="C138" s="298"/>
      <c r="D138" s="298"/>
      <c r="E138" s="298"/>
      <c r="F138" s="299"/>
    </row>
    <row r="139" spans="1:6" ht="21.6" thickTop="1" thickBot="1" x14ac:dyDescent="0.35">
      <c r="A139" s="24" t="s">
        <v>421</v>
      </c>
      <c r="B139" s="25" t="s">
        <v>422</v>
      </c>
      <c r="C139" s="25" t="s">
        <v>258</v>
      </c>
      <c r="D139" s="25" t="s">
        <v>423</v>
      </c>
      <c r="E139" s="25" t="s">
        <v>424</v>
      </c>
      <c r="F139" s="25" t="s">
        <v>52</v>
      </c>
    </row>
    <row r="140" spans="1:6" ht="21.6" thickTop="1" thickBot="1" x14ac:dyDescent="0.35">
      <c r="A140" s="26" t="str">
        <f>$C$26</f>
        <v>Auxiliar Administrativo II</v>
      </c>
      <c r="B140" s="27">
        <f>$F$136</f>
        <v>5480.81</v>
      </c>
      <c r="C140" s="26">
        <f>$C$22</f>
        <v>1</v>
      </c>
      <c r="D140" s="26">
        <f>$C$18</f>
        <v>12</v>
      </c>
      <c r="E140" s="27">
        <f>TRUNC(($B$140 * $C$140),2)</f>
        <v>5480.81</v>
      </c>
      <c r="F140" s="27">
        <f>TRUNC(($D$140 * $E$140),2)</f>
        <v>65769.72</v>
      </c>
    </row>
    <row r="141" spans="1:6" ht="15" thickTop="1" x14ac:dyDescent="0.3">
      <c r="A141" s="52"/>
      <c r="B141" s="52"/>
      <c r="C141" s="52"/>
      <c r="D141" s="52"/>
      <c r="E141" s="52"/>
      <c r="F141" s="52"/>
    </row>
    <row r="142" spans="1:6" x14ac:dyDescent="0.3">
      <c r="A142" s="52"/>
      <c r="B142" s="52"/>
      <c r="C142" s="52"/>
      <c r="D142" s="52"/>
      <c r="E142" s="52"/>
      <c r="F142" s="52"/>
    </row>
  </sheetData>
  <sheetProtection sheet="1" objects="1" scenarios="1"/>
  <protectedRanges>
    <protectedRange sqref="E122:E124" name="Intervalo6"/>
    <protectedRange sqref="E82:E87" name="Intervalo4"/>
    <protectedRange sqref="C28:F28 C30:F30 F35 F36 F37 F38 F39 F40" name="Intervalo2"/>
    <protectedRange sqref="C10:F10 C13:F13 C15:F15 C16:F16 C17:F17" name="Intervalo1"/>
    <protectedRange sqref="E53 F67 F69 F71" name="Intervalo3"/>
    <protectedRange sqref="E94:E98" name="Intervalo5"/>
  </protectedRanges>
  <mergeCells count="146">
    <mergeCell ref="A137:F137"/>
    <mergeCell ref="A138:F138"/>
    <mergeCell ref="B131:E131"/>
    <mergeCell ref="B132:E132"/>
    <mergeCell ref="B133:E133"/>
    <mergeCell ref="A134:E134"/>
    <mergeCell ref="B135:E135"/>
    <mergeCell ref="A136:E136"/>
    <mergeCell ref="A125:D125"/>
    <mergeCell ref="A126:F126"/>
    <mergeCell ref="A127:F127"/>
    <mergeCell ref="A128:E128"/>
    <mergeCell ref="B129:E129"/>
    <mergeCell ref="B130:E130"/>
    <mergeCell ref="B119:D119"/>
    <mergeCell ref="B120:D120"/>
    <mergeCell ref="A121:D121"/>
    <mergeCell ref="B122:D122"/>
    <mergeCell ref="B123:D123"/>
    <mergeCell ref="B124:D124"/>
    <mergeCell ref="B113:E113"/>
    <mergeCell ref="B114:E114"/>
    <mergeCell ref="A115:E115"/>
    <mergeCell ref="A116:F116"/>
    <mergeCell ref="A117:F117"/>
    <mergeCell ref="A118:D118"/>
    <mergeCell ref="A107:E107"/>
    <mergeCell ref="A108:F108"/>
    <mergeCell ref="A109:F109"/>
    <mergeCell ref="B110:E110"/>
    <mergeCell ref="B111:E111"/>
    <mergeCell ref="B112:E112"/>
    <mergeCell ref="B101:D101"/>
    <mergeCell ref="B102:D102"/>
    <mergeCell ref="A103:F103"/>
    <mergeCell ref="B104:E104"/>
    <mergeCell ref="B105:E105"/>
    <mergeCell ref="B106:E106"/>
    <mergeCell ref="B95:D95"/>
    <mergeCell ref="B96:D96"/>
    <mergeCell ref="B97:D97"/>
    <mergeCell ref="B98:D98"/>
    <mergeCell ref="A99:D99"/>
    <mergeCell ref="A100:F100"/>
    <mergeCell ref="A89:F89"/>
    <mergeCell ref="A90:F90"/>
    <mergeCell ref="A91:F91"/>
    <mergeCell ref="B92:D92"/>
    <mergeCell ref="B93:D93"/>
    <mergeCell ref="B94:D94"/>
    <mergeCell ref="A80:F80"/>
    <mergeCell ref="B81:D81"/>
    <mergeCell ref="B82:D82"/>
    <mergeCell ref="B83:D83"/>
    <mergeCell ref="B87:D87"/>
    <mergeCell ref="A88:D88"/>
    <mergeCell ref="B74:E74"/>
    <mergeCell ref="B75:E75"/>
    <mergeCell ref="B76:E76"/>
    <mergeCell ref="B77:E77"/>
    <mergeCell ref="A78:E78"/>
    <mergeCell ref="A79:F79"/>
    <mergeCell ref="B84:D84"/>
    <mergeCell ref="B85:D85"/>
    <mergeCell ref="B86:D86"/>
    <mergeCell ref="A68:A69"/>
    <mergeCell ref="B68:E69"/>
    <mergeCell ref="A70:A71"/>
    <mergeCell ref="B70:E71"/>
    <mergeCell ref="A72:E72"/>
    <mergeCell ref="A73:F73"/>
    <mergeCell ref="B61:F61"/>
    <mergeCell ref="A62:A63"/>
    <mergeCell ref="A64:A65"/>
    <mergeCell ref="B64:C64"/>
    <mergeCell ref="B65:C65"/>
    <mergeCell ref="A66:A67"/>
    <mergeCell ref="B66:E67"/>
    <mergeCell ref="B55:D55"/>
    <mergeCell ref="B56:D56"/>
    <mergeCell ref="B57:D57"/>
    <mergeCell ref="B58:D58"/>
    <mergeCell ref="A59:D59"/>
    <mergeCell ref="A60:F60"/>
    <mergeCell ref="A49:F49"/>
    <mergeCell ref="B50:D50"/>
    <mergeCell ref="B51:D51"/>
    <mergeCell ref="B52:D52"/>
    <mergeCell ref="B53:D53"/>
    <mergeCell ref="B54:D54"/>
    <mergeCell ref="A43:F43"/>
    <mergeCell ref="A44:F44"/>
    <mergeCell ref="B45:D45"/>
    <mergeCell ref="B46:D46"/>
    <mergeCell ref="B47:D47"/>
    <mergeCell ref="A48:D48"/>
    <mergeCell ref="B37:E37"/>
    <mergeCell ref="B38:E38"/>
    <mergeCell ref="B39:E39"/>
    <mergeCell ref="B40:E40"/>
    <mergeCell ref="A41:E41"/>
    <mergeCell ref="A42:F42"/>
    <mergeCell ref="A31:F31"/>
    <mergeCell ref="A32:F32"/>
    <mergeCell ref="B33:E33"/>
    <mergeCell ref="B34:E34"/>
    <mergeCell ref="B35:E35"/>
    <mergeCell ref="B36:E36"/>
    <mergeCell ref="A28:B28"/>
    <mergeCell ref="C28:F28"/>
    <mergeCell ref="A29:B29"/>
    <mergeCell ref="C29:F29"/>
    <mergeCell ref="A30:B30"/>
    <mergeCell ref="C30:F30"/>
    <mergeCell ref="A24:F24"/>
    <mergeCell ref="A25:F25"/>
    <mergeCell ref="A26:B26"/>
    <mergeCell ref="C26:F26"/>
    <mergeCell ref="A27:B27"/>
    <mergeCell ref="C27:F27"/>
    <mergeCell ref="A19:F19"/>
    <mergeCell ref="A20:F20"/>
    <mergeCell ref="A21:B21"/>
    <mergeCell ref="C21:F21"/>
    <mergeCell ref="A22:B22"/>
    <mergeCell ref="C22:F22"/>
    <mergeCell ref="A18:B18"/>
    <mergeCell ref="C18:F18"/>
    <mergeCell ref="A11:F11"/>
    <mergeCell ref="A12:F12"/>
    <mergeCell ref="A13:B13"/>
    <mergeCell ref="C13:F13"/>
    <mergeCell ref="A14:B14"/>
    <mergeCell ref="C14:F14"/>
    <mergeCell ref="A23:F23"/>
    <mergeCell ref="A1:F6"/>
    <mergeCell ref="A7:F7"/>
    <mergeCell ref="A8:F8"/>
    <mergeCell ref="A9:B9"/>
    <mergeCell ref="C9:F9"/>
    <mergeCell ref="A10:B10"/>
    <mergeCell ref="C10:F10"/>
    <mergeCell ref="A15:B17"/>
    <mergeCell ref="C15:F15"/>
    <mergeCell ref="C16:F16"/>
    <mergeCell ref="C17:F17"/>
  </mergeCells>
  <hyperlinks>
    <hyperlink ref="C9" r:id="rId1" location="/134037411" xr:uid="{87475C7D-7C71-46B9-81D7-D846C02CEC60}"/>
    <hyperlink ref="C27" r:id="rId2" xr:uid="{21A8E30C-C6E6-4ED2-A94E-E4C7D07C1A3B}"/>
  </hyperlinks>
  <pageMargins left="0.7" right="0.7" top="0.75" bottom="0.75" header="0.3" footer="0.3"/>
  <drawing r:id="rId3"/>
  <legacyDrawing r:id="rId4"/>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41F042-86A3-4AEA-A962-BBC8761ECEB6}">
  <dimension ref="A1:H143"/>
  <sheetViews>
    <sheetView zoomScale="150" zoomScaleNormal="150" workbookViewId="0">
      <selection activeCell="C10" sqref="C10:F10"/>
    </sheetView>
  </sheetViews>
  <sheetFormatPr defaultRowHeight="14.4" x14ac:dyDescent="0.3"/>
  <cols>
    <col min="1" max="1" width="14.44140625" customWidth="1"/>
    <col min="2" max="3" width="20.5546875" customWidth="1"/>
    <col min="4" max="4" width="18.5546875" customWidth="1"/>
    <col min="5" max="5" width="18.6640625" customWidth="1"/>
    <col min="6" max="6" width="18.5546875" customWidth="1"/>
  </cols>
  <sheetData>
    <row r="1" spans="1:6" ht="15" thickTop="1" x14ac:dyDescent="0.3">
      <c r="A1" s="211"/>
      <c r="B1" s="212"/>
      <c r="C1" s="212"/>
      <c r="D1" s="212"/>
      <c r="E1" s="212"/>
      <c r="F1" s="213"/>
    </row>
    <row r="2" spans="1:6" x14ac:dyDescent="0.3">
      <c r="A2" s="214"/>
      <c r="B2" s="215"/>
      <c r="C2" s="215"/>
      <c r="D2" s="215"/>
      <c r="E2" s="215"/>
      <c r="F2" s="216"/>
    </row>
    <row r="3" spans="1:6" x14ac:dyDescent="0.3">
      <c r="A3" s="214"/>
      <c r="B3" s="215"/>
      <c r="C3" s="215"/>
      <c r="D3" s="215"/>
      <c r="E3" s="215"/>
      <c r="F3" s="216"/>
    </row>
    <row r="4" spans="1:6" x14ac:dyDescent="0.3">
      <c r="A4" s="214"/>
      <c r="B4" s="215"/>
      <c r="C4" s="215"/>
      <c r="D4" s="215"/>
      <c r="E4" s="215"/>
      <c r="F4" s="216"/>
    </row>
    <row r="5" spans="1:6" x14ac:dyDescent="0.3">
      <c r="A5" s="214"/>
      <c r="B5" s="215"/>
      <c r="C5" s="215"/>
      <c r="D5" s="215"/>
      <c r="E5" s="215"/>
      <c r="F5" s="216"/>
    </row>
    <row r="6" spans="1:6" ht="15" thickBot="1" x14ac:dyDescent="0.35">
      <c r="A6" s="214"/>
      <c r="B6" s="215"/>
      <c r="C6" s="215"/>
      <c r="D6" s="215"/>
      <c r="E6" s="215"/>
      <c r="F6" s="216"/>
    </row>
    <row r="7" spans="1:6" ht="15.6" thickTop="1" thickBot="1" x14ac:dyDescent="0.35">
      <c r="A7" s="217"/>
      <c r="B7" s="218"/>
      <c r="C7" s="218"/>
      <c r="D7" s="218"/>
      <c r="E7" s="218"/>
      <c r="F7" s="219"/>
    </row>
    <row r="8" spans="1:6" ht="15.6" thickTop="1" thickBot="1" x14ac:dyDescent="0.35">
      <c r="A8" s="220" t="s">
        <v>290</v>
      </c>
      <c r="B8" s="221"/>
      <c r="C8" s="221"/>
      <c r="D8" s="221"/>
      <c r="E8" s="221"/>
      <c r="F8" s="222"/>
    </row>
    <row r="9" spans="1:6" ht="15.6" thickTop="1" thickBot="1" x14ac:dyDescent="0.35">
      <c r="A9" s="223" t="s">
        <v>291</v>
      </c>
      <c r="B9" s="224"/>
      <c r="C9" s="225" t="s">
        <v>292</v>
      </c>
      <c r="D9" s="226"/>
      <c r="E9" s="226"/>
      <c r="F9" s="227"/>
    </row>
    <row r="10" spans="1:6" ht="15.6" thickTop="1" thickBot="1" x14ac:dyDescent="0.35">
      <c r="A10" s="228" t="s">
        <v>293</v>
      </c>
      <c r="B10" s="229"/>
      <c r="C10" s="230" t="s">
        <v>294</v>
      </c>
      <c r="D10" s="231"/>
      <c r="E10" s="231"/>
      <c r="F10" s="232"/>
    </row>
    <row r="11" spans="1:6" ht="15.6" thickTop="1" thickBot="1" x14ac:dyDescent="0.35">
      <c r="A11" s="217"/>
      <c r="B11" s="218"/>
      <c r="C11" s="218"/>
      <c r="D11" s="218"/>
      <c r="E11" s="218"/>
      <c r="F11" s="219"/>
    </row>
    <row r="12" spans="1:6" ht="15.6" thickTop="1" thickBot="1" x14ac:dyDescent="0.35">
      <c r="A12" s="220" t="s">
        <v>295</v>
      </c>
      <c r="B12" s="221"/>
      <c r="C12" s="221"/>
      <c r="D12" s="221"/>
      <c r="E12" s="221"/>
      <c r="F12" s="222"/>
    </row>
    <row r="13" spans="1:6" ht="15.6" thickTop="1" thickBot="1" x14ac:dyDescent="0.35">
      <c r="A13" s="223" t="s">
        <v>296</v>
      </c>
      <c r="B13" s="224"/>
      <c r="C13" s="230" t="s">
        <v>297</v>
      </c>
      <c r="D13" s="231"/>
      <c r="E13" s="231"/>
      <c r="F13" s="232"/>
    </row>
    <row r="14" spans="1:6" ht="15.6" thickTop="1" thickBot="1" x14ac:dyDescent="0.35">
      <c r="A14" s="228" t="s">
        <v>298</v>
      </c>
      <c r="B14" s="229"/>
      <c r="C14" s="228" t="s">
        <v>299</v>
      </c>
      <c r="D14" s="240"/>
      <c r="E14" s="240"/>
      <c r="F14" s="229"/>
    </row>
    <row r="15" spans="1:6" ht="15.6" thickTop="1" thickBot="1" x14ac:dyDescent="0.35">
      <c r="A15" s="233" t="s">
        <v>300</v>
      </c>
      <c r="B15" s="234"/>
      <c r="C15" s="239" t="s">
        <v>501</v>
      </c>
      <c r="D15" s="239"/>
      <c r="E15" s="239"/>
      <c r="F15" s="239"/>
    </row>
    <row r="16" spans="1:6" ht="15.6" thickTop="1" thickBot="1" x14ac:dyDescent="0.35">
      <c r="A16" s="235"/>
      <c r="B16" s="236"/>
      <c r="C16" s="239" t="s">
        <v>502</v>
      </c>
      <c r="D16" s="239"/>
      <c r="E16" s="239"/>
      <c r="F16" s="239"/>
    </row>
    <row r="17" spans="1:6" ht="15.6" thickTop="1" thickBot="1" x14ac:dyDescent="0.35">
      <c r="A17" s="237"/>
      <c r="B17" s="238"/>
      <c r="C17" s="239" t="s">
        <v>503</v>
      </c>
      <c r="D17" s="239"/>
      <c r="E17" s="239"/>
      <c r="F17" s="239"/>
    </row>
    <row r="18" spans="1:6" ht="15.6" thickTop="1" thickBot="1" x14ac:dyDescent="0.35">
      <c r="A18" s="228" t="s">
        <v>301</v>
      </c>
      <c r="B18" s="229"/>
      <c r="C18" s="228">
        <v>12</v>
      </c>
      <c r="D18" s="240"/>
      <c r="E18" s="240"/>
      <c r="F18" s="229"/>
    </row>
    <row r="19" spans="1:6" ht="15.6" thickTop="1" thickBot="1" x14ac:dyDescent="0.35">
      <c r="A19" s="217"/>
      <c r="B19" s="218"/>
      <c r="C19" s="218"/>
      <c r="D19" s="218"/>
      <c r="E19" s="218"/>
      <c r="F19" s="219"/>
    </row>
    <row r="20" spans="1:6" ht="15.6" thickTop="1" thickBot="1" x14ac:dyDescent="0.35">
      <c r="A20" s="220" t="s">
        <v>302</v>
      </c>
      <c r="B20" s="221"/>
      <c r="C20" s="221"/>
      <c r="D20" s="221"/>
      <c r="E20" s="221"/>
      <c r="F20" s="222"/>
    </row>
    <row r="21" spans="1:6" ht="15.6" thickTop="1" thickBot="1" x14ac:dyDescent="0.35">
      <c r="A21" s="223" t="s">
        <v>303</v>
      </c>
      <c r="B21" s="224"/>
      <c r="C21" s="223" t="s">
        <v>304</v>
      </c>
      <c r="D21" s="243"/>
      <c r="E21" s="243"/>
      <c r="F21" s="224"/>
    </row>
    <row r="22" spans="1:6" ht="27" customHeight="1" thickTop="1" thickBot="1" x14ac:dyDescent="0.35">
      <c r="A22" s="247" t="s">
        <v>305</v>
      </c>
      <c r="B22" s="248"/>
      <c r="C22" s="228">
        <v>1</v>
      </c>
      <c r="D22" s="240"/>
      <c r="E22" s="240"/>
      <c r="F22" s="229"/>
    </row>
    <row r="23" spans="1:6" ht="15.6" thickTop="1" thickBot="1" x14ac:dyDescent="0.35">
      <c r="A23" s="217"/>
      <c r="B23" s="218"/>
      <c r="C23" s="218"/>
      <c r="D23" s="218"/>
      <c r="E23" s="218"/>
      <c r="F23" s="219"/>
    </row>
    <row r="24" spans="1:6" ht="15.6" thickTop="1" thickBot="1" x14ac:dyDescent="0.35">
      <c r="A24" s="220" t="s">
        <v>306</v>
      </c>
      <c r="B24" s="221"/>
      <c r="C24" s="221"/>
      <c r="D24" s="221"/>
      <c r="E24" s="221"/>
      <c r="F24" s="222"/>
    </row>
    <row r="25" spans="1:6" ht="15.6" thickTop="1" thickBot="1" x14ac:dyDescent="0.35">
      <c r="A25" s="228" t="s">
        <v>307</v>
      </c>
      <c r="B25" s="240"/>
      <c r="C25" s="240"/>
      <c r="D25" s="240"/>
      <c r="E25" s="240"/>
      <c r="F25" s="229"/>
    </row>
    <row r="26" spans="1:6" ht="21" customHeight="1" thickTop="1" thickBot="1" x14ac:dyDescent="0.35">
      <c r="A26" s="241" t="s">
        <v>308</v>
      </c>
      <c r="B26" s="242"/>
      <c r="C26" s="223" t="s">
        <v>425</v>
      </c>
      <c r="D26" s="243"/>
      <c r="E26" s="243"/>
      <c r="F26" s="224"/>
    </row>
    <row r="27" spans="1:6" ht="15.6" thickTop="1" thickBot="1" x14ac:dyDescent="0.35">
      <c r="A27" s="228" t="s">
        <v>309</v>
      </c>
      <c r="B27" s="229"/>
      <c r="C27" s="304" t="s">
        <v>426</v>
      </c>
      <c r="D27" s="305"/>
      <c r="E27" s="305"/>
      <c r="F27" s="306"/>
    </row>
    <row r="28" spans="1:6" ht="15.6" thickTop="1" thickBot="1" x14ac:dyDescent="0.35">
      <c r="A28" s="223" t="s">
        <v>311</v>
      </c>
      <c r="B28" s="224"/>
      <c r="C28" s="258">
        <f xml:space="preserve"> 'Salários.VA.VT.QteDias'!D3</f>
        <v>1586.86</v>
      </c>
      <c r="D28" s="231"/>
      <c r="E28" s="231"/>
      <c r="F28" s="232"/>
    </row>
    <row r="29" spans="1:6" ht="24.75" customHeight="1" thickTop="1" thickBot="1" x14ac:dyDescent="0.35">
      <c r="A29" s="247" t="s">
        <v>312</v>
      </c>
      <c r="B29" s="248"/>
      <c r="C29" s="228" t="s">
        <v>313</v>
      </c>
      <c r="D29" s="240"/>
      <c r="E29" s="240"/>
      <c r="F29" s="229"/>
    </row>
    <row r="30" spans="1:6" ht="15.6" thickTop="1" thickBot="1" x14ac:dyDescent="0.35">
      <c r="A30" s="223" t="s">
        <v>314</v>
      </c>
      <c r="B30" s="224"/>
      <c r="C30" s="230" t="s">
        <v>504</v>
      </c>
      <c r="D30" s="231"/>
      <c r="E30" s="231"/>
      <c r="F30" s="232"/>
    </row>
    <row r="31" spans="1:6" ht="15.6" thickTop="1" thickBot="1" x14ac:dyDescent="0.35">
      <c r="A31" s="249" t="s">
        <v>315</v>
      </c>
      <c r="B31" s="250"/>
      <c r="C31" s="250"/>
      <c r="D31" s="250"/>
      <c r="E31" s="250"/>
      <c r="F31" s="251"/>
    </row>
    <row r="32" spans="1:6" ht="15.6" thickTop="1" thickBot="1" x14ac:dyDescent="0.35">
      <c r="A32" s="220" t="s">
        <v>316</v>
      </c>
      <c r="B32" s="221"/>
      <c r="C32" s="221"/>
      <c r="D32" s="221"/>
      <c r="E32" s="221"/>
      <c r="F32" s="222"/>
    </row>
    <row r="33" spans="1:6" ht="15.6" thickTop="1" thickBot="1" x14ac:dyDescent="0.35">
      <c r="A33" s="11" t="s">
        <v>1</v>
      </c>
      <c r="B33" s="252" t="s">
        <v>317</v>
      </c>
      <c r="C33" s="253"/>
      <c r="D33" s="253"/>
      <c r="E33" s="254"/>
      <c r="F33" s="12" t="s">
        <v>318</v>
      </c>
    </row>
    <row r="34" spans="1:6" ht="15.6" thickTop="1" thickBot="1" x14ac:dyDescent="0.35">
      <c r="A34" s="85" t="s">
        <v>319</v>
      </c>
      <c r="B34" s="255" t="s">
        <v>320</v>
      </c>
      <c r="C34" s="255"/>
      <c r="D34" s="255"/>
      <c r="E34" s="255"/>
      <c r="F34" s="86">
        <f>$C$28</f>
        <v>1586.86</v>
      </c>
    </row>
    <row r="35" spans="1:6" ht="15.6" thickTop="1" thickBot="1" x14ac:dyDescent="0.35">
      <c r="A35" s="87" t="s">
        <v>321</v>
      </c>
      <c r="B35" s="256" t="s">
        <v>322</v>
      </c>
      <c r="C35" s="256"/>
      <c r="D35" s="256"/>
      <c r="E35" s="256"/>
      <c r="F35" s="129">
        <v>0</v>
      </c>
    </row>
    <row r="36" spans="1:6" ht="15.6" thickTop="1" thickBot="1" x14ac:dyDescent="0.35">
      <c r="A36" s="85" t="s">
        <v>323</v>
      </c>
      <c r="B36" s="257" t="s">
        <v>324</v>
      </c>
      <c r="C36" s="257"/>
      <c r="D36" s="257"/>
      <c r="E36" s="257"/>
      <c r="F36" s="130">
        <v>0</v>
      </c>
    </row>
    <row r="37" spans="1:6" ht="15.6" thickTop="1" thickBot="1" x14ac:dyDescent="0.35">
      <c r="A37" s="87" t="s">
        <v>325</v>
      </c>
      <c r="B37" s="256" t="s">
        <v>326</v>
      </c>
      <c r="C37" s="256"/>
      <c r="D37" s="256"/>
      <c r="E37" s="256"/>
      <c r="F37" s="129">
        <v>0</v>
      </c>
    </row>
    <row r="38" spans="1:6" ht="15.6" thickTop="1" thickBot="1" x14ac:dyDescent="0.35">
      <c r="A38" s="85" t="s">
        <v>327</v>
      </c>
      <c r="B38" s="255" t="s">
        <v>328</v>
      </c>
      <c r="C38" s="255"/>
      <c r="D38" s="255"/>
      <c r="E38" s="255"/>
      <c r="F38" s="130">
        <v>0</v>
      </c>
    </row>
    <row r="39" spans="1:6" ht="15.6" thickTop="1" thickBot="1" x14ac:dyDescent="0.35">
      <c r="A39" s="87" t="s">
        <v>329</v>
      </c>
      <c r="B39" s="256" t="s">
        <v>330</v>
      </c>
      <c r="C39" s="256"/>
      <c r="D39" s="256"/>
      <c r="E39" s="256"/>
      <c r="F39" s="129">
        <v>0</v>
      </c>
    </row>
    <row r="40" spans="1:6" ht="15.6" thickTop="1" thickBot="1" x14ac:dyDescent="0.35">
      <c r="A40" s="85" t="s">
        <v>331</v>
      </c>
      <c r="B40" s="255" t="s">
        <v>332</v>
      </c>
      <c r="C40" s="255"/>
      <c r="D40" s="255"/>
      <c r="E40" s="255"/>
      <c r="F40" s="130">
        <v>0</v>
      </c>
    </row>
    <row r="41" spans="1:6" ht="15.6" thickTop="1" thickBot="1" x14ac:dyDescent="0.35">
      <c r="A41" s="220" t="s">
        <v>333</v>
      </c>
      <c r="B41" s="221"/>
      <c r="C41" s="221"/>
      <c r="D41" s="221"/>
      <c r="E41" s="222"/>
      <c r="F41" s="16">
        <f>TRUNC(SUM(F34:F40),2)</f>
        <v>1586.86</v>
      </c>
    </row>
    <row r="42" spans="1:6" ht="15.6" thickTop="1" thickBot="1" x14ac:dyDescent="0.35">
      <c r="A42" s="217"/>
      <c r="B42" s="218"/>
      <c r="C42" s="218"/>
      <c r="D42" s="218"/>
      <c r="E42" s="218"/>
      <c r="F42" s="219"/>
    </row>
    <row r="43" spans="1:6" ht="15.6" thickTop="1" thickBot="1" x14ac:dyDescent="0.35">
      <c r="A43" s="220" t="s">
        <v>334</v>
      </c>
      <c r="B43" s="221"/>
      <c r="C43" s="221"/>
      <c r="D43" s="221"/>
      <c r="E43" s="221"/>
      <c r="F43" s="222"/>
    </row>
    <row r="44" spans="1:6" ht="15.6" thickTop="1" thickBot="1" x14ac:dyDescent="0.35">
      <c r="A44" s="259" t="s">
        <v>513</v>
      </c>
      <c r="B44" s="260"/>
      <c r="C44" s="260"/>
      <c r="D44" s="260"/>
      <c r="E44" s="260"/>
      <c r="F44" s="261"/>
    </row>
    <row r="45" spans="1:6" ht="15.6" thickTop="1" thickBot="1" x14ac:dyDescent="0.35">
      <c r="A45" s="11" t="s">
        <v>336</v>
      </c>
      <c r="B45" s="252" t="s">
        <v>337</v>
      </c>
      <c r="C45" s="253"/>
      <c r="D45" s="254"/>
      <c r="E45" s="12" t="s">
        <v>338</v>
      </c>
      <c r="F45" s="12" t="s">
        <v>318</v>
      </c>
    </row>
    <row r="46" spans="1:6" ht="15.6" thickTop="1" thickBot="1" x14ac:dyDescent="0.35">
      <c r="A46" s="85" t="s">
        <v>319</v>
      </c>
      <c r="B46" s="255" t="s">
        <v>339</v>
      </c>
      <c r="C46" s="255"/>
      <c r="D46" s="255"/>
      <c r="E46" s="89">
        <f>TRUNC((100/12),2)</f>
        <v>8.33</v>
      </c>
      <c r="F46" s="86">
        <f>TRUNC((F41*E46%),2)</f>
        <v>132.18</v>
      </c>
    </row>
    <row r="47" spans="1:6" ht="15.6" thickTop="1" thickBot="1" x14ac:dyDescent="0.35">
      <c r="A47" s="87" t="s">
        <v>321</v>
      </c>
      <c r="B47" s="256" t="s">
        <v>340</v>
      </c>
      <c r="C47" s="256"/>
      <c r="D47" s="256"/>
      <c r="E47" s="90">
        <f>E46/3</f>
        <v>2.7766666666666668</v>
      </c>
      <c r="F47" s="88">
        <f>TRUNC((F41*E47%),2)</f>
        <v>44.06</v>
      </c>
    </row>
    <row r="48" spans="1:6" ht="15.6" thickTop="1" thickBot="1" x14ac:dyDescent="0.35">
      <c r="A48" s="220" t="s">
        <v>341</v>
      </c>
      <c r="B48" s="221"/>
      <c r="C48" s="221"/>
      <c r="D48" s="222"/>
      <c r="E48" s="35">
        <f>SUM(E46:E47)</f>
        <v>11.106666666666667</v>
      </c>
      <c r="F48" s="16">
        <f>TRUNC((SUM(F46:F47)),2)</f>
        <v>176.24</v>
      </c>
    </row>
    <row r="49" spans="1:6" ht="15.6" thickTop="1" thickBot="1" x14ac:dyDescent="0.35">
      <c r="A49" s="259" t="s">
        <v>342</v>
      </c>
      <c r="B49" s="260"/>
      <c r="C49" s="260"/>
      <c r="D49" s="260"/>
      <c r="E49" s="260"/>
      <c r="F49" s="261"/>
    </row>
    <row r="50" spans="1:6" ht="15.6" thickTop="1" thickBot="1" x14ac:dyDescent="0.35">
      <c r="A50" s="11" t="s">
        <v>343</v>
      </c>
      <c r="B50" s="262" t="s">
        <v>344</v>
      </c>
      <c r="C50" s="263"/>
      <c r="D50" s="264"/>
      <c r="E50" s="12" t="s">
        <v>338</v>
      </c>
      <c r="F50" s="12" t="s">
        <v>318</v>
      </c>
    </row>
    <row r="51" spans="1:6" ht="15.6" thickTop="1" thickBot="1" x14ac:dyDescent="0.35">
      <c r="A51" s="85" t="s">
        <v>319</v>
      </c>
      <c r="B51" s="255" t="s">
        <v>345</v>
      </c>
      <c r="C51" s="255"/>
      <c r="D51" s="255"/>
      <c r="E51" s="91">
        <v>0.2</v>
      </c>
      <c r="F51" s="86">
        <f t="shared" ref="F51:F58" si="0">TRUNC((($F$41+$F$48)*E51),2)</f>
        <v>352.62</v>
      </c>
    </row>
    <row r="52" spans="1:6" ht="15.6" thickTop="1" thickBot="1" x14ac:dyDescent="0.35">
      <c r="A52" s="87" t="s">
        <v>321</v>
      </c>
      <c r="B52" s="256" t="s">
        <v>346</v>
      </c>
      <c r="C52" s="256"/>
      <c r="D52" s="256"/>
      <c r="E52" s="92">
        <v>2.5000000000000001E-2</v>
      </c>
      <c r="F52" s="88">
        <f t="shared" si="0"/>
        <v>44.07</v>
      </c>
    </row>
    <row r="53" spans="1:6" ht="15.6" thickTop="1" thickBot="1" x14ac:dyDescent="0.35">
      <c r="A53" s="98" t="s">
        <v>323</v>
      </c>
      <c r="B53" s="255" t="s">
        <v>347</v>
      </c>
      <c r="C53" s="255"/>
      <c r="D53" s="255"/>
      <c r="E53" s="131">
        <v>0.03</v>
      </c>
      <c r="F53" s="86">
        <f t="shared" si="0"/>
        <v>52.89</v>
      </c>
    </row>
    <row r="54" spans="1:6" ht="15.6" thickTop="1" thickBot="1" x14ac:dyDescent="0.35">
      <c r="A54" s="87" t="s">
        <v>325</v>
      </c>
      <c r="B54" s="256" t="s">
        <v>348</v>
      </c>
      <c r="C54" s="256"/>
      <c r="D54" s="256"/>
      <c r="E54" s="92">
        <v>1.4999999999999999E-2</v>
      </c>
      <c r="F54" s="88">
        <f t="shared" si="0"/>
        <v>26.44</v>
      </c>
    </row>
    <row r="55" spans="1:6" ht="15.6" thickTop="1" thickBot="1" x14ac:dyDescent="0.35">
      <c r="A55" s="85" t="s">
        <v>327</v>
      </c>
      <c r="B55" s="255" t="s">
        <v>349</v>
      </c>
      <c r="C55" s="255"/>
      <c r="D55" s="255"/>
      <c r="E55" s="91">
        <v>0.01</v>
      </c>
      <c r="F55" s="86">
        <f t="shared" si="0"/>
        <v>17.63</v>
      </c>
    </row>
    <row r="56" spans="1:6" ht="15.6" thickTop="1" thickBot="1" x14ac:dyDescent="0.35">
      <c r="A56" s="87" t="s">
        <v>329</v>
      </c>
      <c r="B56" s="256" t="s">
        <v>350</v>
      </c>
      <c r="C56" s="256"/>
      <c r="D56" s="256"/>
      <c r="E56" s="92">
        <v>6.0000000000000001E-3</v>
      </c>
      <c r="F56" s="88">
        <f t="shared" si="0"/>
        <v>10.57</v>
      </c>
    </row>
    <row r="57" spans="1:6" ht="15.6" thickTop="1" thickBot="1" x14ac:dyDescent="0.35">
      <c r="A57" s="85" t="s">
        <v>331</v>
      </c>
      <c r="B57" s="255" t="s">
        <v>351</v>
      </c>
      <c r="C57" s="255"/>
      <c r="D57" s="255"/>
      <c r="E57" s="91">
        <v>2E-3</v>
      </c>
      <c r="F57" s="86">
        <f t="shared" si="0"/>
        <v>3.52</v>
      </c>
    </row>
    <row r="58" spans="1:6" ht="15.6" thickTop="1" thickBot="1" x14ac:dyDescent="0.35">
      <c r="A58" s="87" t="s">
        <v>352</v>
      </c>
      <c r="B58" s="256" t="s">
        <v>353</v>
      </c>
      <c r="C58" s="256"/>
      <c r="D58" s="256"/>
      <c r="E58" s="92">
        <v>0.08</v>
      </c>
      <c r="F58" s="88">
        <f t="shared" si="0"/>
        <v>141.04</v>
      </c>
    </row>
    <row r="59" spans="1:6" ht="15.6" thickTop="1" thickBot="1" x14ac:dyDescent="0.35">
      <c r="A59" s="220" t="s">
        <v>354</v>
      </c>
      <c r="B59" s="221"/>
      <c r="C59" s="221"/>
      <c r="D59" s="222"/>
      <c r="E59" s="19">
        <f>SUM(E51:E58)</f>
        <v>0.36800000000000005</v>
      </c>
      <c r="F59" s="16">
        <f>TRUNC((SUM(F51:F58)),2)</f>
        <v>648.78</v>
      </c>
    </row>
    <row r="60" spans="1:6" ht="15.6" thickTop="1" thickBot="1" x14ac:dyDescent="0.35">
      <c r="A60" s="259" t="s">
        <v>355</v>
      </c>
      <c r="B60" s="260"/>
      <c r="C60" s="260"/>
      <c r="D60" s="260"/>
      <c r="E60" s="260"/>
      <c r="F60" s="261"/>
    </row>
    <row r="61" spans="1:6" ht="15.6" thickTop="1" thickBot="1" x14ac:dyDescent="0.35">
      <c r="A61" s="20" t="s">
        <v>356</v>
      </c>
      <c r="B61" s="259" t="s">
        <v>357</v>
      </c>
      <c r="C61" s="260"/>
      <c r="D61" s="260"/>
      <c r="E61" s="260"/>
      <c r="F61" s="261"/>
    </row>
    <row r="62" spans="1:6" ht="15.6" thickTop="1" thickBot="1" x14ac:dyDescent="0.35">
      <c r="A62" s="267" t="s">
        <v>319</v>
      </c>
      <c r="B62" s="11" t="s">
        <v>358</v>
      </c>
      <c r="C62" s="11" t="s">
        <v>359</v>
      </c>
      <c r="D62" s="11" t="s">
        <v>360</v>
      </c>
      <c r="E62" s="11" t="s">
        <v>361</v>
      </c>
      <c r="F62" s="87" t="s">
        <v>318</v>
      </c>
    </row>
    <row r="63" spans="1:6" ht="15.6" thickTop="1" thickBot="1" x14ac:dyDescent="0.35">
      <c r="A63" s="268"/>
      <c r="B63" s="15">
        <f>'Salários.VA.VT.QteDias'!D19</f>
        <v>4</v>
      </c>
      <c r="C63" s="11">
        <v>2</v>
      </c>
      <c r="D63" s="11">
        <f>'Salários.VA.VT.QteDias'!C36</f>
        <v>21</v>
      </c>
      <c r="E63" s="15">
        <f>TRUNC(($F$34*6%),2)</f>
        <v>95.21</v>
      </c>
      <c r="F63" s="88">
        <f>TRUNC(IF(E63&gt;=168,0,((B63*C63*D63)-E63)),2)</f>
        <v>72.790000000000006</v>
      </c>
    </row>
    <row r="64" spans="1:6" ht="15.6" thickTop="1" thickBot="1" x14ac:dyDescent="0.35">
      <c r="A64" s="265" t="s">
        <v>321</v>
      </c>
      <c r="B64" s="269" t="s">
        <v>362</v>
      </c>
      <c r="C64" s="270"/>
      <c r="D64" s="13" t="s">
        <v>360</v>
      </c>
      <c r="E64" s="13" t="s">
        <v>361</v>
      </c>
      <c r="F64" s="85" t="s">
        <v>318</v>
      </c>
    </row>
    <row r="65" spans="1:8" ht="15.6" thickTop="1" thickBot="1" x14ac:dyDescent="0.35">
      <c r="A65" s="266"/>
      <c r="B65" s="271">
        <f>'Salários.VA.VT.QteDias'!C19</f>
        <v>26.7</v>
      </c>
      <c r="C65" s="270"/>
      <c r="D65" s="13">
        <f>'Salários.VA.VT.QteDias'!C36</f>
        <v>21</v>
      </c>
      <c r="E65" s="14">
        <f>TRUNC(0.1*(B65*D65),2)</f>
        <v>56.07</v>
      </c>
      <c r="F65" s="86">
        <f>TRUNC(((B65*D65)-E65),2)</f>
        <v>504.63</v>
      </c>
    </row>
    <row r="66" spans="1:8" ht="15.6" thickTop="1" thickBot="1" x14ac:dyDescent="0.35">
      <c r="A66" s="267" t="s">
        <v>323</v>
      </c>
      <c r="B66" s="308" t="s">
        <v>363</v>
      </c>
      <c r="C66" s="308"/>
      <c r="D66" s="308"/>
      <c r="E66" s="308"/>
      <c r="F66" s="87" t="s">
        <v>318</v>
      </c>
    </row>
    <row r="67" spans="1:8" ht="15.6" thickTop="1" thickBot="1" x14ac:dyDescent="0.35">
      <c r="A67" s="268"/>
      <c r="B67" s="308"/>
      <c r="C67" s="308"/>
      <c r="D67" s="308"/>
      <c r="E67" s="308"/>
      <c r="F67" s="129">
        <v>6</v>
      </c>
    </row>
    <row r="68" spans="1:8" ht="15.6" thickTop="1" thickBot="1" x14ac:dyDescent="0.35">
      <c r="A68" s="265" t="s">
        <v>325</v>
      </c>
      <c r="B68" s="307" t="s">
        <v>364</v>
      </c>
      <c r="C68" s="307"/>
      <c r="D68" s="307"/>
      <c r="E68" s="307"/>
      <c r="F68" s="85" t="s">
        <v>318</v>
      </c>
    </row>
    <row r="69" spans="1:8" ht="15.6" thickTop="1" thickBot="1" x14ac:dyDescent="0.35">
      <c r="A69" s="266"/>
      <c r="B69" s="307"/>
      <c r="C69" s="307"/>
      <c r="D69" s="307"/>
      <c r="E69" s="307"/>
      <c r="F69" s="130">
        <v>19.899999999999999</v>
      </c>
    </row>
    <row r="70" spans="1:8" ht="15.6" thickTop="1" thickBot="1" x14ac:dyDescent="0.35">
      <c r="A70" s="267" t="s">
        <v>327</v>
      </c>
      <c r="B70" s="308" t="s">
        <v>332</v>
      </c>
      <c r="C70" s="308"/>
      <c r="D70" s="308"/>
      <c r="E70" s="308"/>
      <c r="F70" s="87" t="s">
        <v>318</v>
      </c>
    </row>
    <row r="71" spans="1:8" ht="15.6" thickTop="1" thickBot="1" x14ac:dyDescent="0.35">
      <c r="A71" s="268"/>
      <c r="B71" s="308"/>
      <c r="C71" s="308"/>
      <c r="D71" s="308"/>
      <c r="E71" s="308"/>
      <c r="F71" s="129">
        <v>0</v>
      </c>
    </row>
    <row r="72" spans="1:8" ht="15.6" thickTop="1" thickBot="1" x14ac:dyDescent="0.35">
      <c r="A72" s="220" t="s">
        <v>365</v>
      </c>
      <c r="B72" s="221"/>
      <c r="C72" s="221"/>
      <c r="D72" s="221"/>
      <c r="E72" s="222"/>
      <c r="F72" s="16">
        <f>TRUNC(SUM(F63,F65,F67,F69,F71),2)</f>
        <v>603.32000000000005</v>
      </c>
    </row>
    <row r="73" spans="1:8" ht="15.6" thickTop="1" thickBot="1" x14ac:dyDescent="0.35">
      <c r="A73" s="259" t="s">
        <v>366</v>
      </c>
      <c r="B73" s="260"/>
      <c r="C73" s="260"/>
      <c r="D73" s="260"/>
      <c r="E73" s="260"/>
      <c r="F73" s="261"/>
    </row>
    <row r="74" spans="1:8" ht="15.6" thickTop="1" thickBot="1" x14ac:dyDescent="0.35">
      <c r="A74" s="11" t="s">
        <v>367</v>
      </c>
      <c r="B74" s="275" t="s">
        <v>368</v>
      </c>
      <c r="C74" s="276"/>
      <c r="D74" s="276"/>
      <c r="E74" s="277"/>
      <c r="F74" s="11" t="s">
        <v>318</v>
      </c>
      <c r="H74" s="3"/>
    </row>
    <row r="75" spans="1:8" ht="15.6" thickTop="1" thickBot="1" x14ac:dyDescent="0.35">
      <c r="A75" s="13" t="s">
        <v>336</v>
      </c>
      <c r="B75" s="278" t="s">
        <v>369</v>
      </c>
      <c r="C75" s="279"/>
      <c r="D75" s="279"/>
      <c r="E75" s="280"/>
      <c r="F75" s="14">
        <f>$F$48</f>
        <v>176.24</v>
      </c>
    </row>
    <row r="76" spans="1:8" ht="15.6" thickTop="1" thickBot="1" x14ac:dyDescent="0.35">
      <c r="A76" s="11" t="s">
        <v>343</v>
      </c>
      <c r="B76" s="275" t="s">
        <v>370</v>
      </c>
      <c r="C76" s="276"/>
      <c r="D76" s="276"/>
      <c r="E76" s="277"/>
      <c r="F76" s="15">
        <f>$F$59</f>
        <v>648.78</v>
      </c>
    </row>
    <row r="77" spans="1:8" ht="15.6" thickTop="1" thickBot="1" x14ac:dyDescent="0.35">
      <c r="A77" s="13" t="s">
        <v>356</v>
      </c>
      <c r="B77" s="278" t="s">
        <v>357</v>
      </c>
      <c r="C77" s="279"/>
      <c r="D77" s="279"/>
      <c r="E77" s="280"/>
      <c r="F77" s="14">
        <f>$F$72</f>
        <v>603.32000000000005</v>
      </c>
    </row>
    <row r="78" spans="1:8" ht="15.6" thickTop="1" thickBot="1" x14ac:dyDescent="0.35">
      <c r="A78" s="220" t="s">
        <v>371</v>
      </c>
      <c r="B78" s="221"/>
      <c r="C78" s="221"/>
      <c r="D78" s="221"/>
      <c r="E78" s="222"/>
      <c r="F78" s="16">
        <f>TRUNC(SUM(F75:F77),2)</f>
        <v>1428.34</v>
      </c>
    </row>
    <row r="79" spans="1:8" ht="15.6" thickTop="1" thickBot="1" x14ac:dyDescent="0.35">
      <c r="A79" s="217"/>
      <c r="B79" s="218"/>
      <c r="C79" s="218"/>
      <c r="D79" s="218"/>
      <c r="E79" s="218"/>
      <c r="F79" s="219"/>
    </row>
    <row r="80" spans="1:8" ht="15.6" thickTop="1" thickBot="1" x14ac:dyDescent="0.35">
      <c r="A80" s="309" t="s">
        <v>372</v>
      </c>
      <c r="B80" s="309"/>
      <c r="C80" s="309"/>
      <c r="D80" s="309"/>
      <c r="E80" s="309"/>
      <c r="F80" s="309"/>
    </row>
    <row r="81" spans="1:6" ht="15.6" thickTop="1" thickBot="1" x14ac:dyDescent="0.35">
      <c r="A81" s="11">
        <v>3</v>
      </c>
      <c r="B81" s="262" t="s">
        <v>373</v>
      </c>
      <c r="C81" s="263"/>
      <c r="D81" s="264"/>
      <c r="E81" s="12" t="s">
        <v>338</v>
      </c>
      <c r="F81" s="12" t="s">
        <v>318</v>
      </c>
    </row>
    <row r="82" spans="1:6" ht="15.6" thickTop="1" thickBot="1" x14ac:dyDescent="0.35">
      <c r="A82" s="85" t="s">
        <v>319</v>
      </c>
      <c r="B82" s="255" t="s">
        <v>374</v>
      </c>
      <c r="C82" s="255"/>
      <c r="D82" s="255"/>
      <c r="E82" s="131">
        <f>(56.24%)*5.55%*(1/12)</f>
        <v>2.6010999999999999E-3</v>
      </c>
      <c r="F82" s="86">
        <f>TRUNC((($F$41+$F$48)*E82),2)</f>
        <v>4.58</v>
      </c>
    </row>
    <row r="83" spans="1:6" ht="15.6" thickTop="1" thickBot="1" x14ac:dyDescent="0.35">
      <c r="A83" s="87" t="s">
        <v>321</v>
      </c>
      <c r="B83" s="272" t="s">
        <v>507</v>
      </c>
      <c r="C83" s="273"/>
      <c r="D83" s="274"/>
      <c r="E83" s="132">
        <f>(8%*0.29%)</f>
        <v>2.32E-4</v>
      </c>
      <c r="F83" s="93">
        <f>TRUNC((($F$41+$F$48)*E83),2)</f>
        <v>0.4</v>
      </c>
    </row>
    <row r="84" spans="1:6" ht="15.6" thickTop="1" thickBot="1" x14ac:dyDescent="0.35">
      <c r="A84" s="85" t="s">
        <v>323</v>
      </c>
      <c r="B84" s="310" t="s">
        <v>508</v>
      </c>
      <c r="C84" s="311"/>
      <c r="D84" s="312"/>
      <c r="E84" s="131">
        <f>(56.24%)*5.55%*40%*8%</f>
        <v>9.9882240000000004E-4</v>
      </c>
      <c r="F84" s="86">
        <f>TRUNC((($F$41+$F$48)*E84),2)</f>
        <v>1.76</v>
      </c>
    </row>
    <row r="85" spans="1:6" ht="15.6" thickTop="1" thickBot="1" x14ac:dyDescent="0.35">
      <c r="A85" s="87" t="s">
        <v>325</v>
      </c>
      <c r="B85" s="256" t="s">
        <v>375</v>
      </c>
      <c r="C85" s="256"/>
      <c r="D85" s="256"/>
      <c r="E85" s="132">
        <f>((56.24%)*94.45%*(7/30)/12)</f>
        <v>1.0328632222222222E-2</v>
      </c>
      <c r="F85" s="93">
        <f>TRUNC((($F$41+$F$48)*E85),2)</f>
        <v>18.21</v>
      </c>
    </row>
    <row r="86" spans="1:6" ht="15.6" thickTop="1" thickBot="1" x14ac:dyDescent="0.35">
      <c r="A86" s="86" t="s">
        <v>327</v>
      </c>
      <c r="B86" s="287" t="s">
        <v>509</v>
      </c>
      <c r="C86" s="288"/>
      <c r="D86" s="289"/>
      <c r="E86" s="131">
        <f>1.03%*36.8%</f>
        <v>3.7904000000000002E-3</v>
      </c>
      <c r="F86" s="86">
        <f>TRUNC((($F$41+$F$48)*E86),2)</f>
        <v>6.68</v>
      </c>
    </row>
    <row r="87" spans="1:6" ht="15.6" thickTop="1" thickBot="1" x14ac:dyDescent="0.35">
      <c r="A87" s="87" t="s">
        <v>329</v>
      </c>
      <c r="B87" s="272" t="s">
        <v>506</v>
      </c>
      <c r="C87" s="273"/>
      <c r="D87" s="274"/>
      <c r="E87" s="132">
        <f>(56.24%)*94.45%*40%*8%</f>
        <v>1.6997977600000002E-2</v>
      </c>
      <c r="F87" s="93">
        <f>TRUNC((($F$41+F48)*E87),2)</f>
        <v>29.96</v>
      </c>
    </row>
    <row r="88" spans="1:6" ht="15.6" thickTop="1" thickBot="1" x14ac:dyDescent="0.35">
      <c r="A88" s="220" t="s">
        <v>376</v>
      </c>
      <c r="B88" s="221"/>
      <c r="C88" s="221"/>
      <c r="D88" s="222"/>
      <c r="E88" s="19">
        <f>SUM(E82:E87)</f>
        <v>3.4948932222222229E-2</v>
      </c>
      <c r="F88" s="16">
        <f>TRUNC(SUM(F82:F87),2)</f>
        <v>61.59</v>
      </c>
    </row>
    <row r="89" spans="1:6" ht="15.6" thickTop="1" thickBot="1" x14ac:dyDescent="0.35">
      <c r="A89" s="217"/>
      <c r="B89" s="218"/>
      <c r="C89" s="218"/>
      <c r="D89" s="218"/>
      <c r="E89" s="218"/>
      <c r="F89" s="219"/>
    </row>
    <row r="90" spans="1:6" ht="15.6" thickTop="1" thickBot="1" x14ac:dyDescent="0.35">
      <c r="A90" s="220" t="s">
        <v>377</v>
      </c>
      <c r="B90" s="221"/>
      <c r="C90" s="221"/>
      <c r="D90" s="221"/>
      <c r="E90" s="221"/>
      <c r="F90" s="222"/>
    </row>
    <row r="91" spans="1:6" ht="15.6" thickTop="1" thickBot="1" x14ac:dyDescent="0.35">
      <c r="A91" s="259" t="s">
        <v>378</v>
      </c>
      <c r="B91" s="260"/>
      <c r="C91" s="260"/>
      <c r="D91" s="260"/>
      <c r="E91" s="260"/>
      <c r="F91" s="261"/>
    </row>
    <row r="92" spans="1:6" ht="15.6" thickTop="1" thickBot="1" x14ac:dyDescent="0.35">
      <c r="A92" s="11" t="s">
        <v>379</v>
      </c>
      <c r="B92" s="262" t="s">
        <v>380</v>
      </c>
      <c r="C92" s="263"/>
      <c r="D92" s="264"/>
      <c r="E92" s="12" t="s">
        <v>338</v>
      </c>
      <c r="F92" s="12" t="s">
        <v>318</v>
      </c>
    </row>
    <row r="93" spans="1:6" ht="15.6" thickTop="1" thickBot="1" x14ac:dyDescent="0.35">
      <c r="A93" s="85" t="s">
        <v>319</v>
      </c>
      <c r="B93" s="255" t="s">
        <v>514</v>
      </c>
      <c r="C93" s="255"/>
      <c r="D93" s="255"/>
      <c r="E93" s="91"/>
      <c r="F93" s="99">
        <f t="shared" ref="F93:F98" si="1">TRUNC((($F$41+$F$78)*E93),2)</f>
        <v>0</v>
      </c>
    </row>
    <row r="94" spans="1:6" ht="15.6" thickTop="1" thickBot="1" x14ac:dyDescent="0.35">
      <c r="A94" s="87" t="s">
        <v>321</v>
      </c>
      <c r="B94" s="256" t="s">
        <v>515</v>
      </c>
      <c r="C94" s="256"/>
      <c r="D94" s="256"/>
      <c r="E94" s="92">
        <f>(8/30)/12</f>
        <v>2.2222222222222223E-2</v>
      </c>
      <c r="F94" s="93">
        <f t="shared" si="1"/>
        <v>67</v>
      </c>
    </row>
    <row r="95" spans="1:6" ht="15.6" thickTop="1" thickBot="1" x14ac:dyDescent="0.35">
      <c r="A95" s="85" t="s">
        <v>323</v>
      </c>
      <c r="B95" s="255" t="s">
        <v>516</v>
      </c>
      <c r="C95" s="255"/>
      <c r="D95" s="255"/>
      <c r="E95" s="91">
        <f>(((20/30)/12)*1.416%*45.22%)</f>
        <v>3.557306666666666E-4</v>
      </c>
      <c r="F95" s="99">
        <f t="shared" si="1"/>
        <v>1.07</v>
      </c>
    </row>
    <row r="96" spans="1:6" ht="15.6" thickTop="1" thickBot="1" x14ac:dyDescent="0.35">
      <c r="A96" s="87" t="s">
        <v>325</v>
      </c>
      <c r="B96" s="256" t="s">
        <v>517</v>
      </c>
      <c r="C96" s="256"/>
      <c r="D96" s="256"/>
      <c r="E96" s="92">
        <f>((15/30)/12)*0.44%</f>
        <v>1.8333333333333334E-4</v>
      </c>
      <c r="F96" s="93">
        <f t="shared" si="1"/>
        <v>0.55000000000000004</v>
      </c>
    </row>
    <row r="97" spans="1:6" ht="15.6" thickTop="1" thickBot="1" x14ac:dyDescent="0.35">
      <c r="A97" s="85" t="s">
        <v>327</v>
      </c>
      <c r="B97" s="255" t="s">
        <v>518</v>
      </c>
      <c r="C97" s="255"/>
      <c r="D97" s="255"/>
      <c r="E97" s="91">
        <f>(((180/30)/12*1.416%*54.78%*36.8%))</f>
        <v>1.4272600319999999E-3</v>
      </c>
      <c r="F97" s="99">
        <f t="shared" si="1"/>
        <v>4.3</v>
      </c>
    </row>
    <row r="98" spans="1:6" ht="15.6" thickTop="1" thickBot="1" x14ac:dyDescent="0.35">
      <c r="A98" s="87" t="s">
        <v>329</v>
      </c>
      <c r="B98" s="256" t="s">
        <v>519</v>
      </c>
      <c r="C98" s="256"/>
      <c r="D98" s="256"/>
      <c r="E98" s="92">
        <v>0</v>
      </c>
      <c r="F98" s="93">
        <f t="shared" si="1"/>
        <v>0</v>
      </c>
    </row>
    <row r="99" spans="1:6" ht="15.6" thickTop="1" thickBot="1" x14ac:dyDescent="0.35">
      <c r="A99" s="220" t="s">
        <v>387</v>
      </c>
      <c r="B99" s="221"/>
      <c r="C99" s="221"/>
      <c r="D99" s="222"/>
      <c r="E99" s="19">
        <f>SUM(E93:E98)</f>
        <v>2.4188546254222225E-2</v>
      </c>
      <c r="F99" s="16">
        <f>TRUNC(SUM(F93:F98),2)</f>
        <v>72.92</v>
      </c>
    </row>
    <row r="100" spans="1:6" ht="15.6" thickTop="1" thickBot="1" x14ac:dyDescent="0.35">
      <c r="A100" s="259" t="s">
        <v>388</v>
      </c>
      <c r="B100" s="260"/>
      <c r="C100" s="260"/>
      <c r="D100" s="260"/>
      <c r="E100" s="260"/>
      <c r="F100" s="261"/>
    </row>
    <row r="101" spans="1:6" ht="15.6" thickTop="1" thickBot="1" x14ac:dyDescent="0.35">
      <c r="A101" s="11" t="s">
        <v>389</v>
      </c>
      <c r="B101" s="262" t="s">
        <v>390</v>
      </c>
      <c r="C101" s="263"/>
      <c r="D101" s="264"/>
      <c r="E101" s="12" t="s">
        <v>338</v>
      </c>
      <c r="F101" s="12" t="s">
        <v>318</v>
      </c>
    </row>
    <row r="102" spans="1:6" ht="15.6" thickTop="1" thickBot="1" x14ac:dyDescent="0.35">
      <c r="A102" s="85" t="s">
        <v>319</v>
      </c>
      <c r="B102" s="255" t="s">
        <v>520</v>
      </c>
      <c r="C102" s="255"/>
      <c r="D102" s="255"/>
      <c r="E102" s="100" t="s">
        <v>392</v>
      </c>
      <c r="F102" s="101">
        <v>0</v>
      </c>
    </row>
    <row r="103" spans="1:6" ht="15.6" thickTop="1" thickBot="1" x14ac:dyDescent="0.35">
      <c r="A103" s="259" t="s">
        <v>393</v>
      </c>
      <c r="B103" s="260"/>
      <c r="C103" s="260"/>
      <c r="D103" s="260"/>
      <c r="E103" s="260"/>
      <c r="F103" s="293"/>
    </row>
    <row r="104" spans="1:6" ht="15.6" thickTop="1" thickBot="1" x14ac:dyDescent="0.35">
      <c r="A104" s="11" t="s">
        <v>394</v>
      </c>
      <c r="B104" s="262" t="s">
        <v>395</v>
      </c>
      <c r="C104" s="263"/>
      <c r="D104" s="263"/>
      <c r="E104" s="264"/>
      <c r="F104" s="12" t="s">
        <v>318</v>
      </c>
    </row>
    <row r="105" spans="1:6" ht="15.6" thickTop="1" thickBot="1" x14ac:dyDescent="0.35">
      <c r="A105" s="13" t="s">
        <v>379</v>
      </c>
      <c r="B105" s="290" t="s">
        <v>380</v>
      </c>
      <c r="C105" s="291"/>
      <c r="D105" s="291"/>
      <c r="E105" s="292"/>
      <c r="F105" s="14">
        <f>$F$99</f>
        <v>72.92</v>
      </c>
    </row>
    <row r="106" spans="1:6" ht="15.6" thickTop="1" thickBot="1" x14ac:dyDescent="0.35">
      <c r="A106" s="11" t="s">
        <v>389</v>
      </c>
      <c r="B106" s="262" t="s">
        <v>390</v>
      </c>
      <c r="C106" s="263"/>
      <c r="D106" s="263"/>
      <c r="E106" s="264"/>
      <c r="F106" s="15">
        <v>0</v>
      </c>
    </row>
    <row r="107" spans="1:6" ht="15.6" thickTop="1" thickBot="1" x14ac:dyDescent="0.35">
      <c r="A107" s="220" t="s">
        <v>396</v>
      </c>
      <c r="B107" s="221"/>
      <c r="C107" s="221"/>
      <c r="D107" s="221"/>
      <c r="E107" s="222"/>
      <c r="F107" s="16">
        <f>TRUNC(SUM(F105+F106),2)</f>
        <v>72.92</v>
      </c>
    </row>
    <row r="108" spans="1:6" ht="15.6" thickTop="1" thickBot="1" x14ac:dyDescent="0.35">
      <c r="A108" s="217"/>
      <c r="B108" s="218"/>
      <c r="C108" s="218"/>
      <c r="D108" s="218"/>
      <c r="E108" s="218"/>
      <c r="F108" s="219"/>
    </row>
    <row r="109" spans="1:6" ht="15.6" thickTop="1" thickBot="1" x14ac:dyDescent="0.35">
      <c r="A109" s="220" t="s">
        <v>397</v>
      </c>
      <c r="B109" s="221"/>
      <c r="C109" s="221"/>
      <c r="D109" s="221"/>
      <c r="E109" s="221"/>
      <c r="F109" s="222"/>
    </row>
    <row r="110" spans="1:6" ht="15.6" thickTop="1" thickBot="1" x14ac:dyDescent="0.35">
      <c r="A110" s="11">
        <v>5</v>
      </c>
      <c r="B110" s="262" t="s">
        <v>398</v>
      </c>
      <c r="C110" s="263"/>
      <c r="D110" s="263"/>
      <c r="E110" s="264"/>
      <c r="F110" s="12" t="s">
        <v>318</v>
      </c>
    </row>
    <row r="111" spans="1:6" ht="15.6" thickTop="1" thickBot="1" x14ac:dyDescent="0.35">
      <c r="A111" s="13" t="s">
        <v>319</v>
      </c>
      <c r="B111" s="290" t="s">
        <v>19</v>
      </c>
      <c r="C111" s="291"/>
      <c r="D111" s="291"/>
      <c r="E111" s="292"/>
      <c r="F111" s="14">
        <f>Unif!I34</f>
        <v>96.37</v>
      </c>
    </row>
    <row r="112" spans="1:6" ht="15.6" thickTop="1" thickBot="1" x14ac:dyDescent="0.35">
      <c r="A112" s="11" t="s">
        <v>321</v>
      </c>
      <c r="B112" s="262" t="s">
        <v>399</v>
      </c>
      <c r="C112" s="263"/>
      <c r="D112" s="263"/>
      <c r="E112" s="264"/>
      <c r="F112" s="15">
        <f>('MLHCC - Ônus da Contratada'!G19 + MLPH!F91)</f>
        <v>200.2</v>
      </c>
    </row>
    <row r="113" spans="1:6" ht="15.6" thickTop="1" thickBot="1" x14ac:dyDescent="0.35">
      <c r="A113" s="13" t="s">
        <v>323</v>
      </c>
      <c r="B113" s="290" t="s">
        <v>521</v>
      </c>
      <c r="C113" s="291"/>
      <c r="D113" s="291"/>
      <c r="E113" s="292"/>
      <c r="F113" s="14"/>
    </row>
    <row r="114" spans="1:6" ht="15.6" thickTop="1" thickBot="1" x14ac:dyDescent="0.35">
      <c r="A114" s="87" t="s">
        <v>325</v>
      </c>
      <c r="B114" s="313" t="s">
        <v>522</v>
      </c>
      <c r="C114" s="314"/>
      <c r="D114" s="314"/>
      <c r="E114" s="315"/>
      <c r="F114" s="15">
        <f>'EPI´s - LC'!E8</f>
        <v>5.23</v>
      </c>
    </row>
    <row r="115" spans="1:6" ht="15.6" thickTop="1" thickBot="1" x14ac:dyDescent="0.35">
      <c r="A115" s="220" t="s">
        <v>402</v>
      </c>
      <c r="B115" s="221"/>
      <c r="C115" s="221"/>
      <c r="D115" s="221"/>
      <c r="E115" s="222"/>
      <c r="F115" s="16">
        <f>TRUNC(SUM(F111:F114),2)</f>
        <v>301.8</v>
      </c>
    </row>
    <row r="116" spans="1:6" ht="15.6" thickTop="1" thickBot="1" x14ac:dyDescent="0.35">
      <c r="A116" s="217"/>
      <c r="B116" s="218"/>
      <c r="C116" s="218"/>
      <c r="D116" s="218"/>
      <c r="E116" s="218"/>
      <c r="F116" s="219"/>
    </row>
    <row r="117" spans="1:6" ht="15.6" thickTop="1" thickBot="1" x14ac:dyDescent="0.35">
      <c r="A117" s="220" t="s">
        <v>403</v>
      </c>
      <c r="B117" s="221"/>
      <c r="C117" s="221"/>
      <c r="D117" s="221"/>
      <c r="E117" s="221"/>
      <c r="F117" s="222"/>
    </row>
    <row r="118" spans="1:6" ht="15.6" thickTop="1" thickBot="1" x14ac:dyDescent="0.35">
      <c r="A118" s="223" t="s">
        <v>404</v>
      </c>
      <c r="B118" s="243"/>
      <c r="C118" s="243"/>
      <c r="D118" s="224"/>
      <c r="E118" s="12" t="s">
        <v>338</v>
      </c>
      <c r="F118" s="102" t="s">
        <v>318</v>
      </c>
    </row>
    <row r="119" spans="1:6" ht="15.6" thickTop="1" thickBot="1" x14ac:dyDescent="0.35">
      <c r="A119" s="13" t="s">
        <v>319</v>
      </c>
      <c r="B119" s="290" t="s">
        <v>405</v>
      </c>
      <c r="C119" s="291"/>
      <c r="D119" s="292"/>
      <c r="E119" s="17">
        <f>'Salários.VA.VT.QteDias'!$D$46</f>
        <v>4.7300000000000002E-2</v>
      </c>
      <c r="F119" s="86">
        <f>TRUNC(($F$134*$E$119),2)</f>
        <v>163.25</v>
      </c>
    </row>
    <row r="120" spans="1:6" ht="15.6" thickTop="1" thickBot="1" x14ac:dyDescent="0.35">
      <c r="A120" s="11" t="s">
        <v>321</v>
      </c>
      <c r="B120" s="262" t="s">
        <v>406</v>
      </c>
      <c r="C120" s="263"/>
      <c r="D120" s="264"/>
      <c r="E120" s="18">
        <f>'Salários.VA.VT.QteDias'!$D$47</f>
        <v>5.57E-2</v>
      </c>
      <c r="F120" s="88">
        <f>TRUNC((($F$134+$F$119)*E120),2)</f>
        <v>201.34</v>
      </c>
    </row>
    <row r="121" spans="1:6" ht="15.6" thickTop="1" thickBot="1" x14ac:dyDescent="0.35">
      <c r="A121" s="228" t="s">
        <v>407</v>
      </c>
      <c r="B121" s="240"/>
      <c r="C121" s="240"/>
      <c r="D121" s="229"/>
      <c r="E121" s="21" t="s">
        <v>338</v>
      </c>
      <c r="F121" s="103" t="s">
        <v>318</v>
      </c>
    </row>
    <row r="122" spans="1:6" ht="15.6" thickTop="1" thickBot="1" x14ac:dyDescent="0.35">
      <c r="A122" s="11" t="s">
        <v>319</v>
      </c>
      <c r="B122" s="262" t="s">
        <v>46</v>
      </c>
      <c r="C122" s="263"/>
      <c r="D122" s="264"/>
      <c r="E122" s="133">
        <v>6.4999999999999997E-3</v>
      </c>
      <c r="F122" s="88">
        <f>TRUNC(((($F$134+$F$119+$F$120)/0.9135)*E122),2)</f>
        <v>27.15</v>
      </c>
    </row>
    <row r="123" spans="1:6" ht="15.6" thickTop="1" thickBot="1" x14ac:dyDescent="0.35">
      <c r="A123" s="22" t="s">
        <v>321</v>
      </c>
      <c r="B123" s="294" t="s">
        <v>408</v>
      </c>
      <c r="C123" s="295"/>
      <c r="D123" s="296"/>
      <c r="E123" s="133">
        <v>0.03</v>
      </c>
      <c r="F123" s="96">
        <f>TRUNC(((($F$134+$F$119+$F$120)/0.9135)*E123),2)</f>
        <v>125.32</v>
      </c>
    </row>
    <row r="124" spans="1:6" ht="15.6" thickTop="1" thickBot="1" x14ac:dyDescent="0.35">
      <c r="A124" s="11" t="s">
        <v>323</v>
      </c>
      <c r="B124" s="262" t="s">
        <v>48</v>
      </c>
      <c r="C124" s="263"/>
      <c r="D124" s="264"/>
      <c r="E124" s="133">
        <v>0.05</v>
      </c>
      <c r="F124" s="88">
        <f>TRUNC(((($F$134+$F$119+$F$120)/0.9135)*E124),2)</f>
        <v>208.87</v>
      </c>
    </row>
    <row r="125" spans="1:6" ht="15.6" thickTop="1" thickBot="1" x14ac:dyDescent="0.35">
      <c r="A125" s="220" t="s">
        <v>409</v>
      </c>
      <c r="B125" s="221"/>
      <c r="C125" s="221"/>
      <c r="D125" s="222"/>
      <c r="E125" s="19">
        <f>SUM(E122:E124)</f>
        <v>8.6499999999999994E-2</v>
      </c>
      <c r="F125" s="16">
        <f>TRUNC(SUM($F$119,$F$120,$F$122,$F$123,$F$124),2)</f>
        <v>725.93</v>
      </c>
    </row>
    <row r="126" spans="1:6" ht="15.6" thickTop="1" thickBot="1" x14ac:dyDescent="0.35">
      <c r="A126" s="217"/>
      <c r="B126" s="218"/>
      <c r="C126" s="218"/>
      <c r="D126" s="218"/>
      <c r="E126" s="218"/>
      <c r="F126" s="219"/>
    </row>
    <row r="127" spans="1:6" ht="15.6" thickTop="1" thickBot="1" x14ac:dyDescent="0.35">
      <c r="A127" s="301" t="s">
        <v>410</v>
      </c>
      <c r="B127" s="302"/>
      <c r="C127" s="302"/>
      <c r="D127" s="302"/>
      <c r="E127" s="302"/>
      <c r="F127" s="303"/>
    </row>
    <row r="128" spans="1:6" ht="15.6" thickTop="1" thickBot="1" x14ac:dyDescent="0.35">
      <c r="A128" s="259" t="s">
        <v>411</v>
      </c>
      <c r="B128" s="260"/>
      <c r="C128" s="260"/>
      <c r="D128" s="260"/>
      <c r="E128" s="261"/>
      <c r="F128" s="23" t="s">
        <v>318</v>
      </c>
    </row>
    <row r="129" spans="1:8" ht="15.6" thickTop="1" thickBot="1" x14ac:dyDescent="0.35">
      <c r="A129" s="11" t="s">
        <v>319</v>
      </c>
      <c r="B129" s="262" t="s">
        <v>412</v>
      </c>
      <c r="C129" s="263"/>
      <c r="D129" s="263"/>
      <c r="E129" s="264"/>
      <c r="F129" s="15">
        <f>$F$41</f>
        <v>1586.86</v>
      </c>
    </row>
    <row r="130" spans="1:8" ht="15.6" thickTop="1" thickBot="1" x14ac:dyDescent="0.35">
      <c r="A130" s="13" t="s">
        <v>321</v>
      </c>
      <c r="B130" s="290" t="s">
        <v>413</v>
      </c>
      <c r="C130" s="291"/>
      <c r="D130" s="291"/>
      <c r="E130" s="292"/>
      <c r="F130" s="14">
        <f>$F$78</f>
        <v>1428.34</v>
      </c>
    </row>
    <row r="131" spans="1:8" ht="15.6" thickTop="1" thickBot="1" x14ac:dyDescent="0.35">
      <c r="A131" s="11" t="s">
        <v>323</v>
      </c>
      <c r="B131" s="262" t="s">
        <v>414</v>
      </c>
      <c r="C131" s="263"/>
      <c r="D131" s="263"/>
      <c r="E131" s="264"/>
      <c r="F131" s="15">
        <f>$F$88</f>
        <v>61.59</v>
      </c>
    </row>
    <row r="132" spans="1:8" ht="15.6" thickTop="1" thickBot="1" x14ac:dyDescent="0.35">
      <c r="A132" s="13" t="s">
        <v>325</v>
      </c>
      <c r="B132" s="290" t="s">
        <v>415</v>
      </c>
      <c r="C132" s="291"/>
      <c r="D132" s="291"/>
      <c r="E132" s="292"/>
      <c r="F132" s="14">
        <f>$F$107</f>
        <v>72.92</v>
      </c>
    </row>
    <row r="133" spans="1:8" ht="15.6" thickTop="1" thickBot="1" x14ac:dyDescent="0.35">
      <c r="A133" s="11" t="s">
        <v>327</v>
      </c>
      <c r="B133" s="262" t="s">
        <v>416</v>
      </c>
      <c r="C133" s="263"/>
      <c r="D133" s="263"/>
      <c r="E133" s="264"/>
      <c r="F133" s="15">
        <f>$F$115</f>
        <v>301.8</v>
      </c>
    </row>
    <row r="134" spans="1:8" ht="15.6" thickTop="1" thickBot="1" x14ac:dyDescent="0.35">
      <c r="A134" s="269" t="s">
        <v>417</v>
      </c>
      <c r="B134" s="300"/>
      <c r="C134" s="300"/>
      <c r="D134" s="300"/>
      <c r="E134" s="270"/>
      <c r="F134" s="14">
        <f>TRUNC(SUM(F129:F133),2)</f>
        <v>3451.51</v>
      </c>
    </row>
    <row r="135" spans="1:8" ht="15.6" thickTop="1" thickBot="1" x14ac:dyDescent="0.35">
      <c r="A135" s="11" t="s">
        <v>329</v>
      </c>
      <c r="B135" s="252" t="s">
        <v>418</v>
      </c>
      <c r="C135" s="253"/>
      <c r="D135" s="253"/>
      <c r="E135" s="254"/>
      <c r="F135" s="15">
        <f>TRUNC(($F$125),2)</f>
        <v>725.93</v>
      </c>
    </row>
    <row r="136" spans="1:8" ht="16.5" customHeight="1" thickTop="1" thickBot="1" x14ac:dyDescent="0.35">
      <c r="A136" s="269" t="s">
        <v>419</v>
      </c>
      <c r="B136" s="300"/>
      <c r="C136" s="300"/>
      <c r="D136" s="300"/>
      <c r="E136" s="270"/>
      <c r="F136" s="14">
        <f>TRUNC(($F$134 + $F$135),2)</f>
        <v>4177.4399999999996</v>
      </c>
    </row>
    <row r="137" spans="1:8" ht="16.5" customHeight="1" thickTop="1" thickBot="1" x14ac:dyDescent="0.35">
      <c r="A137" s="217"/>
      <c r="B137" s="218"/>
      <c r="C137" s="218"/>
      <c r="D137" s="218"/>
      <c r="E137" s="218"/>
      <c r="F137" s="219"/>
      <c r="H137" s="3"/>
    </row>
    <row r="138" spans="1:8" ht="15.6" thickTop="1" thickBot="1" x14ac:dyDescent="0.35">
      <c r="A138" s="297" t="s">
        <v>420</v>
      </c>
      <c r="B138" s="298"/>
      <c r="C138" s="298"/>
      <c r="D138" s="298"/>
      <c r="E138" s="298"/>
      <c r="F138" s="299"/>
    </row>
    <row r="139" spans="1:8" ht="21.6" thickTop="1" thickBot="1" x14ac:dyDescent="0.35">
      <c r="A139" s="24" t="s">
        <v>421</v>
      </c>
      <c r="B139" s="25" t="s">
        <v>422</v>
      </c>
      <c r="C139" s="25" t="s">
        <v>258</v>
      </c>
      <c r="D139" s="25" t="s">
        <v>423</v>
      </c>
      <c r="E139" s="25" t="s">
        <v>424</v>
      </c>
      <c r="F139" s="25" t="s">
        <v>52</v>
      </c>
    </row>
    <row r="140" spans="1:8" ht="21.6" thickTop="1" thickBot="1" x14ac:dyDescent="0.35">
      <c r="A140" s="26" t="str">
        <f>$C$26</f>
        <v>Serventes de Limpeza e Conservação</v>
      </c>
      <c r="B140" s="27">
        <f>$F$136</f>
        <v>4177.4399999999996</v>
      </c>
      <c r="C140" s="26">
        <f>$C$22</f>
        <v>1</v>
      </c>
      <c r="D140" s="26">
        <f>$C$18</f>
        <v>12</v>
      </c>
      <c r="E140" s="27">
        <f>TRUNC(($B$140 * $C$140),2)</f>
        <v>4177.4399999999996</v>
      </c>
      <c r="F140" s="27">
        <f>TRUNC(($D$140 * $E$140),2)</f>
        <v>50129.279999999999</v>
      </c>
    </row>
    <row r="141" spans="1:8" ht="15" thickTop="1" x14ac:dyDescent="0.3">
      <c r="A141" s="52"/>
      <c r="B141" s="52"/>
      <c r="C141" s="52"/>
      <c r="D141" s="52"/>
      <c r="E141" s="52"/>
      <c r="F141" s="52"/>
    </row>
    <row r="142" spans="1:8" x14ac:dyDescent="0.3">
      <c r="A142" s="52"/>
      <c r="B142" s="52"/>
      <c r="C142" s="52"/>
      <c r="D142" s="52"/>
      <c r="E142" s="52"/>
      <c r="F142" s="52"/>
    </row>
    <row r="143" spans="1:8" x14ac:dyDescent="0.3">
      <c r="A143" s="84"/>
      <c r="B143" s="84"/>
      <c r="C143" s="84"/>
      <c r="D143" s="84"/>
      <c r="E143" s="84"/>
      <c r="F143" s="84"/>
    </row>
  </sheetData>
  <sheetProtection sheet="1" objects="1" scenarios="1"/>
  <protectedRanges>
    <protectedRange sqref="E122:E124" name="Intervalo5"/>
    <protectedRange sqref="E53 F67 F69 F71" name="Intervalo3"/>
    <protectedRange sqref="C10:F10 C13:F13 C15:F15 C16:F16 C17:F17" name="Intervalo1"/>
    <protectedRange sqref="C10:F10 C13:F13 C15:F15 C16:F16 C17:F17 C28:F28 C30:F30 F35 F36 F37 F38 F39 F40" name="Intervalo2"/>
    <protectedRange sqref="E82:E87" name="Intervalo4"/>
  </protectedRanges>
  <mergeCells count="146">
    <mergeCell ref="A137:F137"/>
    <mergeCell ref="A138:F138"/>
    <mergeCell ref="B131:E131"/>
    <mergeCell ref="B132:E132"/>
    <mergeCell ref="B133:E133"/>
    <mergeCell ref="A134:E134"/>
    <mergeCell ref="B135:E135"/>
    <mergeCell ref="A136:E136"/>
    <mergeCell ref="A125:D125"/>
    <mergeCell ref="A126:F126"/>
    <mergeCell ref="A127:F127"/>
    <mergeCell ref="A128:E128"/>
    <mergeCell ref="B129:E129"/>
    <mergeCell ref="B130:E130"/>
    <mergeCell ref="B119:D119"/>
    <mergeCell ref="B120:D120"/>
    <mergeCell ref="A121:D121"/>
    <mergeCell ref="B122:D122"/>
    <mergeCell ref="B123:D123"/>
    <mergeCell ref="B124:D124"/>
    <mergeCell ref="B113:E113"/>
    <mergeCell ref="B114:E114"/>
    <mergeCell ref="A115:E115"/>
    <mergeCell ref="A116:F116"/>
    <mergeCell ref="A117:F117"/>
    <mergeCell ref="A118:D118"/>
    <mergeCell ref="A107:E107"/>
    <mergeCell ref="A108:F108"/>
    <mergeCell ref="A109:F109"/>
    <mergeCell ref="B110:E110"/>
    <mergeCell ref="B111:E111"/>
    <mergeCell ref="B112:E112"/>
    <mergeCell ref="B101:D101"/>
    <mergeCell ref="B102:D102"/>
    <mergeCell ref="A103:F103"/>
    <mergeCell ref="B104:E104"/>
    <mergeCell ref="B105:E105"/>
    <mergeCell ref="B106:E106"/>
    <mergeCell ref="B95:D95"/>
    <mergeCell ref="B96:D96"/>
    <mergeCell ref="B97:D97"/>
    <mergeCell ref="B98:D98"/>
    <mergeCell ref="A99:D99"/>
    <mergeCell ref="A100:F100"/>
    <mergeCell ref="A89:F89"/>
    <mergeCell ref="A90:F90"/>
    <mergeCell ref="A91:F91"/>
    <mergeCell ref="B92:D92"/>
    <mergeCell ref="B93:D93"/>
    <mergeCell ref="B94:D94"/>
    <mergeCell ref="A80:F80"/>
    <mergeCell ref="B81:D81"/>
    <mergeCell ref="B82:D82"/>
    <mergeCell ref="B83:D83"/>
    <mergeCell ref="B87:D87"/>
    <mergeCell ref="A88:D88"/>
    <mergeCell ref="B74:E74"/>
    <mergeCell ref="B75:E75"/>
    <mergeCell ref="B76:E76"/>
    <mergeCell ref="B77:E77"/>
    <mergeCell ref="A78:E78"/>
    <mergeCell ref="A79:F79"/>
    <mergeCell ref="B84:D84"/>
    <mergeCell ref="B85:D85"/>
    <mergeCell ref="B86:D86"/>
    <mergeCell ref="A68:A69"/>
    <mergeCell ref="B68:E69"/>
    <mergeCell ref="A70:A71"/>
    <mergeCell ref="B70:E71"/>
    <mergeCell ref="A72:E72"/>
    <mergeCell ref="A73:F73"/>
    <mergeCell ref="B61:F61"/>
    <mergeCell ref="A62:A63"/>
    <mergeCell ref="A64:A65"/>
    <mergeCell ref="B64:C64"/>
    <mergeCell ref="B65:C65"/>
    <mergeCell ref="A66:A67"/>
    <mergeCell ref="B66:E67"/>
    <mergeCell ref="B55:D55"/>
    <mergeCell ref="B56:D56"/>
    <mergeCell ref="B57:D57"/>
    <mergeCell ref="B58:D58"/>
    <mergeCell ref="A59:D59"/>
    <mergeCell ref="A60:F60"/>
    <mergeCell ref="A49:F49"/>
    <mergeCell ref="B50:D50"/>
    <mergeCell ref="B51:D51"/>
    <mergeCell ref="B52:D52"/>
    <mergeCell ref="B53:D53"/>
    <mergeCell ref="B54:D54"/>
    <mergeCell ref="A43:F43"/>
    <mergeCell ref="A44:F44"/>
    <mergeCell ref="B45:D45"/>
    <mergeCell ref="B46:D46"/>
    <mergeCell ref="B47:D47"/>
    <mergeCell ref="A48:D48"/>
    <mergeCell ref="B37:E37"/>
    <mergeCell ref="B38:E38"/>
    <mergeCell ref="B39:E39"/>
    <mergeCell ref="B40:E40"/>
    <mergeCell ref="A41:E41"/>
    <mergeCell ref="A42:F42"/>
    <mergeCell ref="A31:F31"/>
    <mergeCell ref="A32:F32"/>
    <mergeCell ref="B33:E33"/>
    <mergeCell ref="B34:E34"/>
    <mergeCell ref="B35:E35"/>
    <mergeCell ref="B36:E36"/>
    <mergeCell ref="A28:B28"/>
    <mergeCell ref="C28:F28"/>
    <mergeCell ref="A29:B29"/>
    <mergeCell ref="C29:F29"/>
    <mergeCell ref="A30:B30"/>
    <mergeCell ref="C30:F30"/>
    <mergeCell ref="A24:F24"/>
    <mergeCell ref="A25:F25"/>
    <mergeCell ref="A26:B26"/>
    <mergeCell ref="C26:F26"/>
    <mergeCell ref="A27:B27"/>
    <mergeCell ref="C27:F27"/>
    <mergeCell ref="A19:F19"/>
    <mergeCell ref="A20:F20"/>
    <mergeCell ref="A21:B21"/>
    <mergeCell ref="C21:F21"/>
    <mergeCell ref="A22:B22"/>
    <mergeCell ref="C22:F22"/>
    <mergeCell ref="A18:B18"/>
    <mergeCell ref="C18:F18"/>
    <mergeCell ref="A11:F11"/>
    <mergeCell ref="A12:F12"/>
    <mergeCell ref="A13:B13"/>
    <mergeCell ref="C13:F13"/>
    <mergeCell ref="A14:B14"/>
    <mergeCell ref="C14:F14"/>
    <mergeCell ref="A23:F23"/>
    <mergeCell ref="A1:F6"/>
    <mergeCell ref="A7:F7"/>
    <mergeCell ref="A8:F8"/>
    <mergeCell ref="A9:B9"/>
    <mergeCell ref="C9:F9"/>
    <mergeCell ref="A10:B10"/>
    <mergeCell ref="C10:F10"/>
    <mergeCell ref="A15:B17"/>
    <mergeCell ref="C15:F15"/>
    <mergeCell ref="C16:F16"/>
    <mergeCell ref="C17:F17"/>
  </mergeCells>
  <hyperlinks>
    <hyperlink ref="C9" r:id="rId1" location="/134037411" xr:uid="{50AFF079-067D-4C9D-AC71-81808ED33EB5}"/>
    <hyperlink ref="C27" r:id="rId2" display="4110-05 - Auxiliar de escritório" xr:uid="{3CC4653A-4E86-453C-8052-24FF8F059475}"/>
    <hyperlink ref="C27:F27" r:id="rId3" display="5143-20 - Serviços de Limpeza e Conservação" xr:uid="{E4C832B7-01B0-4B44-9892-472756458085}"/>
  </hyperlinks>
  <pageMargins left="0.7" right="0.7" top="0.75" bottom="0.75" header="0.3" footer="0.3"/>
  <drawing r:id="rId4"/>
  <legacyDrawing r:id="rId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5051B19-49F7-498B-A618-029AD567A5C8}">
  <dimension ref="A1:J63"/>
  <sheetViews>
    <sheetView zoomScale="140" zoomScaleNormal="140" workbookViewId="0">
      <selection activeCell="H47" sqref="H47"/>
    </sheetView>
  </sheetViews>
  <sheetFormatPr defaultRowHeight="14.4" x14ac:dyDescent="0.3"/>
  <cols>
    <col min="1" max="1" width="14.109375" customWidth="1"/>
    <col min="2" max="2" width="36.5546875" customWidth="1"/>
    <col min="3" max="4" width="18.44140625" customWidth="1"/>
    <col min="5" max="5" width="18.109375" customWidth="1"/>
    <col min="6" max="6" width="18.5546875" customWidth="1"/>
  </cols>
  <sheetData>
    <row r="1" spans="1:10" ht="131.25" customHeight="1" thickTop="1" thickBot="1" x14ac:dyDescent="0.35">
      <c r="A1" s="142"/>
      <c r="B1" s="143"/>
      <c r="C1" s="143"/>
      <c r="D1" s="143"/>
      <c r="E1" s="143"/>
      <c r="F1" s="144"/>
      <c r="J1" s="4"/>
    </row>
    <row r="2" spans="1:10" x14ac:dyDescent="0.3">
      <c r="A2" s="145" t="s">
        <v>427</v>
      </c>
      <c r="B2" s="146"/>
      <c r="C2" s="146"/>
      <c r="D2" s="146"/>
      <c r="E2" s="146"/>
      <c r="F2" s="147"/>
    </row>
    <row r="3" spans="1:10" x14ac:dyDescent="0.3">
      <c r="A3" s="148" t="s">
        <v>428</v>
      </c>
      <c r="B3" s="149"/>
      <c r="C3" s="149"/>
      <c r="D3" s="149"/>
      <c r="E3" s="149"/>
      <c r="F3" s="150"/>
    </row>
    <row r="4" spans="1:10" x14ac:dyDescent="0.3">
      <c r="A4" s="145" t="s">
        <v>429</v>
      </c>
      <c r="B4" s="146"/>
      <c r="C4" s="146"/>
      <c r="D4" s="146"/>
      <c r="E4" s="146"/>
      <c r="F4" s="147"/>
    </row>
    <row r="5" spans="1:10" x14ac:dyDescent="0.3">
      <c r="A5" s="148" t="s">
        <v>430</v>
      </c>
      <c r="B5" s="143"/>
      <c r="C5" s="143"/>
      <c r="D5" s="143"/>
      <c r="E5" s="143"/>
      <c r="F5" s="144"/>
    </row>
    <row r="6" spans="1:10" ht="60.75" customHeight="1" x14ac:dyDescent="0.3">
      <c r="A6" s="139" t="s">
        <v>431</v>
      </c>
      <c r="B6" s="140"/>
      <c r="C6" s="140"/>
      <c r="D6" s="140"/>
      <c r="E6" s="140"/>
      <c r="F6" s="141"/>
    </row>
    <row r="7" spans="1:10" x14ac:dyDescent="0.3">
      <c r="A7" s="142"/>
      <c r="B7" s="143"/>
      <c r="C7" s="143"/>
      <c r="D7" s="143"/>
      <c r="E7" s="143"/>
      <c r="F7" s="144"/>
    </row>
    <row r="8" spans="1:10" x14ac:dyDescent="0.3">
      <c r="A8" s="145" t="s">
        <v>432</v>
      </c>
      <c r="B8" s="146"/>
      <c r="C8" s="146"/>
      <c r="D8" s="146"/>
      <c r="E8" s="146"/>
      <c r="F8" s="147"/>
    </row>
    <row r="9" spans="1:10" x14ac:dyDescent="0.3">
      <c r="A9" s="151" t="s">
        <v>433</v>
      </c>
      <c r="B9" s="152"/>
      <c r="C9" s="151"/>
      <c r="D9" s="153"/>
      <c r="E9" s="153"/>
      <c r="F9" s="152"/>
    </row>
    <row r="10" spans="1:10" x14ac:dyDescent="0.3">
      <c r="A10" s="154" t="s">
        <v>434</v>
      </c>
      <c r="B10" s="155"/>
      <c r="C10" s="154"/>
      <c r="D10" s="158"/>
      <c r="E10" s="158"/>
      <c r="F10" s="155"/>
    </row>
    <row r="11" spans="1:10" x14ac:dyDescent="0.3">
      <c r="A11" s="151" t="s">
        <v>435</v>
      </c>
      <c r="B11" s="152"/>
      <c r="C11" s="151"/>
      <c r="D11" s="153"/>
      <c r="E11" s="153"/>
      <c r="F11" s="152"/>
    </row>
    <row r="12" spans="1:10" x14ac:dyDescent="0.3">
      <c r="A12" s="156" t="s">
        <v>436</v>
      </c>
      <c r="B12" s="157"/>
      <c r="C12" s="154"/>
      <c r="D12" s="155"/>
      <c r="E12" s="154"/>
      <c r="F12" s="155"/>
    </row>
    <row r="13" spans="1:10" x14ac:dyDescent="0.3">
      <c r="A13" s="151" t="s">
        <v>437</v>
      </c>
      <c r="B13" s="152"/>
      <c r="C13" s="28"/>
      <c r="D13" s="28"/>
      <c r="E13" s="28"/>
      <c r="F13" s="28"/>
    </row>
    <row r="14" spans="1:10" x14ac:dyDescent="0.3">
      <c r="A14" s="154" t="s">
        <v>438</v>
      </c>
      <c r="B14" s="155"/>
      <c r="C14" s="29" t="s">
        <v>439</v>
      </c>
      <c r="D14" s="29" t="s">
        <v>440</v>
      </c>
      <c r="E14" s="29" t="s">
        <v>441</v>
      </c>
      <c r="F14" s="29" t="s">
        <v>442</v>
      </c>
    </row>
    <row r="15" spans="1:10" x14ac:dyDescent="0.3">
      <c r="A15" s="142"/>
      <c r="B15" s="143"/>
      <c r="C15" s="143"/>
      <c r="D15" s="143"/>
      <c r="E15" s="143"/>
      <c r="F15" s="144"/>
    </row>
    <row r="16" spans="1:10" x14ac:dyDescent="0.3">
      <c r="A16" s="145" t="s">
        <v>443</v>
      </c>
      <c r="B16" s="159"/>
      <c r="C16" s="159"/>
      <c r="D16" s="159"/>
      <c r="E16" s="159"/>
      <c r="F16" s="160"/>
    </row>
    <row r="17" spans="1:6" x14ac:dyDescent="0.3">
      <c r="A17" s="151" t="s">
        <v>444</v>
      </c>
      <c r="B17" s="152"/>
      <c r="C17" s="151"/>
      <c r="D17" s="153"/>
      <c r="E17" s="153"/>
      <c r="F17" s="152"/>
    </row>
    <row r="18" spans="1:6" x14ac:dyDescent="0.3">
      <c r="A18" s="154" t="s">
        <v>445</v>
      </c>
      <c r="B18" s="155"/>
      <c r="C18" s="29" t="s">
        <v>446</v>
      </c>
      <c r="D18" s="29" t="s">
        <v>447</v>
      </c>
      <c r="E18" s="154" t="s">
        <v>448</v>
      </c>
      <c r="F18" s="155"/>
    </row>
    <row r="19" spans="1:6" x14ac:dyDescent="0.3">
      <c r="A19" s="142"/>
      <c r="B19" s="143"/>
      <c r="C19" s="143"/>
      <c r="D19" s="143"/>
      <c r="E19" s="143"/>
      <c r="F19" s="144"/>
    </row>
    <row r="20" spans="1:6" x14ac:dyDescent="0.3">
      <c r="A20" s="145" t="s">
        <v>449</v>
      </c>
      <c r="B20" s="159"/>
      <c r="C20" s="159"/>
      <c r="D20" s="159"/>
      <c r="E20" s="159"/>
      <c r="F20" s="160"/>
    </row>
    <row r="21" spans="1:6" ht="39.9" customHeight="1" thickTop="1" thickBot="1" x14ac:dyDescent="0.35">
      <c r="A21" s="30" t="s">
        <v>319</v>
      </c>
      <c r="B21" s="164" t="s">
        <v>450</v>
      </c>
      <c r="C21" s="165"/>
      <c r="D21" s="165"/>
      <c r="E21" s="165"/>
      <c r="F21" s="166"/>
    </row>
    <row r="22" spans="1:6" ht="39.9" customHeight="1" thickTop="1" thickBot="1" x14ac:dyDescent="0.35">
      <c r="A22" s="29" t="s">
        <v>321</v>
      </c>
      <c r="B22" s="161" t="s">
        <v>451</v>
      </c>
      <c r="C22" s="162"/>
      <c r="D22" s="162"/>
      <c r="E22" s="162"/>
      <c r="F22" s="163"/>
    </row>
    <row r="23" spans="1:6" ht="39.9" customHeight="1" thickTop="1" thickBot="1" x14ac:dyDescent="0.35">
      <c r="A23" s="30" t="s">
        <v>323</v>
      </c>
      <c r="B23" s="164" t="s">
        <v>452</v>
      </c>
      <c r="C23" s="165"/>
      <c r="D23" s="165"/>
      <c r="E23" s="165"/>
      <c r="F23" s="166"/>
    </row>
    <row r="24" spans="1:6" ht="39.9" customHeight="1" thickTop="1" thickBot="1" x14ac:dyDescent="0.35">
      <c r="A24" s="29" t="s">
        <v>325</v>
      </c>
      <c r="B24" s="161" t="s">
        <v>453</v>
      </c>
      <c r="C24" s="162"/>
      <c r="D24" s="162"/>
      <c r="E24" s="162"/>
      <c r="F24" s="163"/>
    </row>
    <row r="25" spans="1:6" ht="39.9" customHeight="1" thickTop="1" thickBot="1" x14ac:dyDescent="0.35">
      <c r="A25" s="30" t="s">
        <v>327</v>
      </c>
      <c r="B25" s="164" t="s">
        <v>454</v>
      </c>
      <c r="C25" s="165"/>
      <c r="D25" s="165"/>
      <c r="E25" s="165"/>
      <c r="F25" s="166"/>
    </row>
    <row r="26" spans="1:6" ht="39.9" customHeight="1" thickTop="1" thickBot="1" x14ac:dyDescent="0.35">
      <c r="A26" s="29" t="s">
        <v>329</v>
      </c>
      <c r="B26" s="161" t="s">
        <v>455</v>
      </c>
      <c r="C26" s="162"/>
      <c r="D26" s="162"/>
      <c r="E26" s="162"/>
      <c r="F26" s="163"/>
    </row>
    <row r="27" spans="1:6" ht="39.9" customHeight="1" thickTop="1" thickBot="1" x14ac:dyDescent="0.35">
      <c r="A27" s="30" t="s">
        <v>331</v>
      </c>
      <c r="B27" s="164" t="s">
        <v>456</v>
      </c>
      <c r="C27" s="165"/>
      <c r="D27" s="165"/>
      <c r="E27" s="165"/>
      <c r="F27" s="166"/>
    </row>
    <row r="28" spans="1:6" ht="39.9" customHeight="1" thickTop="1" thickBot="1" x14ac:dyDescent="0.35">
      <c r="A28" s="29" t="s">
        <v>352</v>
      </c>
      <c r="B28" s="161" t="s">
        <v>457</v>
      </c>
      <c r="C28" s="162"/>
      <c r="D28" s="162"/>
      <c r="E28" s="162"/>
      <c r="F28" s="163"/>
    </row>
    <row r="29" spans="1:6" ht="39.9" customHeight="1" thickTop="1" thickBot="1" x14ac:dyDescent="0.35">
      <c r="A29" s="30" t="s">
        <v>458</v>
      </c>
      <c r="B29" s="164" t="s">
        <v>459</v>
      </c>
      <c r="C29" s="165"/>
      <c r="D29" s="165"/>
      <c r="E29" s="165"/>
      <c r="F29" s="166"/>
    </row>
    <row r="30" spans="1:6" ht="39.9" customHeight="1" thickTop="1" thickBot="1" x14ac:dyDescent="0.35">
      <c r="A30" s="29" t="s">
        <v>460</v>
      </c>
      <c r="B30" s="161" t="s">
        <v>461</v>
      </c>
      <c r="C30" s="162"/>
      <c r="D30" s="162"/>
      <c r="E30" s="162"/>
      <c r="F30" s="163"/>
    </row>
    <row r="31" spans="1:6" ht="39.9" customHeight="1" thickTop="1" thickBot="1" x14ac:dyDescent="0.35">
      <c r="A31" s="30" t="s">
        <v>462</v>
      </c>
      <c r="B31" s="164" t="s">
        <v>463</v>
      </c>
      <c r="C31" s="165"/>
      <c r="D31" s="165"/>
      <c r="E31" s="165"/>
      <c r="F31" s="166"/>
    </row>
    <row r="32" spans="1:6" ht="39.9" customHeight="1" thickTop="1" thickBot="1" x14ac:dyDescent="0.35">
      <c r="A32" s="29" t="s">
        <v>464</v>
      </c>
      <c r="B32" s="161" t="s">
        <v>465</v>
      </c>
      <c r="C32" s="162"/>
      <c r="D32" s="162"/>
      <c r="E32" s="162"/>
      <c r="F32" s="163"/>
    </row>
    <row r="33" spans="1:6" x14ac:dyDescent="0.3">
      <c r="A33" s="142"/>
      <c r="B33" s="143"/>
      <c r="C33" s="143"/>
      <c r="D33" s="143"/>
      <c r="E33" s="143"/>
      <c r="F33" s="144"/>
    </row>
    <row r="34" spans="1:6" x14ac:dyDescent="0.3">
      <c r="A34" s="145" t="s">
        <v>466</v>
      </c>
      <c r="B34" s="146"/>
      <c r="C34" s="146"/>
      <c r="D34" s="146"/>
      <c r="E34" s="146"/>
      <c r="F34" s="147"/>
    </row>
    <row r="35" spans="1:6" ht="20.399999999999999" x14ac:dyDescent="0.3">
      <c r="A35" s="30" t="s">
        <v>1</v>
      </c>
      <c r="B35" s="30" t="s">
        <v>467</v>
      </c>
      <c r="C35" s="30" t="s">
        <v>422</v>
      </c>
      <c r="D35" s="30" t="s">
        <v>258</v>
      </c>
      <c r="E35" s="30" t="s">
        <v>468</v>
      </c>
      <c r="F35" s="30" t="s">
        <v>469</v>
      </c>
    </row>
    <row r="36" spans="1:6" x14ac:dyDescent="0.3">
      <c r="A36" s="29">
        <v>1</v>
      </c>
      <c r="B36" s="29" t="s">
        <v>470</v>
      </c>
      <c r="C36" s="31">
        <f>AAII!B140</f>
        <v>5480.81</v>
      </c>
      <c r="D36" s="29">
        <f>AAII!C22</f>
        <v>1</v>
      </c>
      <c r="E36" s="31">
        <f>C36*D36</f>
        <v>5480.81</v>
      </c>
      <c r="F36" s="31">
        <f>TRUNC((E36*12),2)</f>
        <v>65769.72</v>
      </c>
    </row>
    <row r="37" spans="1:6" x14ac:dyDescent="0.3">
      <c r="A37" s="30">
        <v>2</v>
      </c>
      <c r="B37" s="30" t="s">
        <v>471</v>
      </c>
      <c r="C37" s="32">
        <f>SLCeCopeiragem!B140</f>
        <v>4177.4399999999996</v>
      </c>
      <c r="D37" s="30">
        <f>SLCeCopeiragem!C22</f>
        <v>1</v>
      </c>
      <c r="E37" s="32">
        <f>C37*D37</f>
        <v>4177.4399999999996</v>
      </c>
      <c r="F37" s="32">
        <f>TRUNC((E37*12),2)</f>
        <v>50129.279999999999</v>
      </c>
    </row>
    <row r="38" spans="1:6" x14ac:dyDescent="0.3">
      <c r="A38" s="154" t="s">
        <v>472</v>
      </c>
      <c r="B38" s="155"/>
      <c r="C38" s="33"/>
      <c r="D38" s="36">
        <f>SUM(D36:D37)</f>
        <v>2</v>
      </c>
      <c r="E38" s="33">
        <f>SUM(E36:E37)</f>
        <v>9658.25</v>
      </c>
      <c r="F38" s="31">
        <f>TRUNC((E38*12),2)</f>
        <v>115899</v>
      </c>
    </row>
    <row r="39" spans="1:6" x14ac:dyDescent="0.3">
      <c r="A39" s="142"/>
      <c r="B39" s="143"/>
      <c r="C39" s="143"/>
      <c r="D39" s="143"/>
      <c r="E39" s="143"/>
      <c r="F39" s="144"/>
    </row>
    <row r="40" spans="1:6" x14ac:dyDescent="0.3">
      <c r="A40" s="145" t="s">
        <v>473</v>
      </c>
      <c r="B40" s="146"/>
      <c r="C40" s="146"/>
      <c r="D40" s="146"/>
      <c r="E40" s="146"/>
      <c r="F40" s="147"/>
    </row>
    <row r="41" spans="1:6" x14ac:dyDescent="0.3">
      <c r="A41" s="34">
        <v>3</v>
      </c>
      <c r="B41" s="169" t="s">
        <v>474</v>
      </c>
      <c r="C41" s="170"/>
      <c r="D41" s="171"/>
      <c r="E41" s="34" t="s">
        <v>475</v>
      </c>
      <c r="F41" s="34" t="s">
        <v>39</v>
      </c>
    </row>
    <row r="42" spans="1:6" x14ac:dyDescent="0.3">
      <c r="A42" s="154" t="s">
        <v>476</v>
      </c>
      <c r="B42" s="167"/>
      <c r="C42" s="167"/>
      <c r="D42" s="168"/>
      <c r="E42" s="33"/>
      <c r="F42" s="33">
        <f>Gás!K3</f>
        <v>315.06</v>
      </c>
    </row>
    <row r="43" spans="1:6" x14ac:dyDescent="0.3">
      <c r="A43" s="172"/>
      <c r="B43" s="173"/>
      <c r="C43" s="173"/>
      <c r="D43" s="173"/>
      <c r="E43" s="173"/>
      <c r="F43" s="174"/>
    </row>
    <row r="44" spans="1:6" x14ac:dyDescent="0.3">
      <c r="A44" s="145" t="s">
        <v>477</v>
      </c>
      <c r="B44" s="146"/>
      <c r="C44" s="146"/>
      <c r="D44" s="146"/>
      <c r="E44" s="146"/>
      <c r="F44" s="147"/>
    </row>
    <row r="45" spans="1:6" ht="16.5" customHeight="1" thickTop="1" thickBot="1" x14ac:dyDescent="0.35">
      <c r="A45" s="30">
        <v>4</v>
      </c>
      <c r="B45" s="151" t="s">
        <v>478</v>
      </c>
      <c r="C45" s="153"/>
      <c r="D45" s="152"/>
      <c r="E45" s="30" t="s">
        <v>475</v>
      </c>
      <c r="F45" s="30" t="s">
        <v>39</v>
      </c>
    </row>
    <row r="46" spans="1:6" ht="16.5" customHeight="1" thickTop="1" thickBot="1" x14ac:dyDescent="0.35">
      <c r="A46" s="154" t="s">
        <v>476</v>
      </c>
      <c r="B46" s="167"/>
      <c r="C46" s="167"/>
      <c r="D46" s="168"/>
      <c r="E46" s="33">
        <f>GA!J10</f>
        <v>290.75</v>
      </c>
      <c r="F46" s="33">
        <f>GA!K10</f>
        <v>3489</v>
      </c>
    </row>
    <row r="47" spans="1:6" x14ac:dyDescent="0.3">
      <c r="A47" s="175"/>
      <c r="B47" s="176"/>
      <c r="C47" s="176"/>
      <c r="D47" s="176"/>
      <c r="E47" s="176"/>
      <c r="F47" s="177"/>
    </row>
    <row r="48" spans="1:6" x14ac:dyDescent="0.3">
      <c r="A48" s="145" t="s">
        <v>479</v>
      </c>
      <c r="B48" s="146"/>
      <c r="C48" s="146"/>
      <c r="D48" s="146"/>
      <c r="E48" s="146"/>
      <c r="F48" s="147"/>
    </row>
    <row r="49" spans="1:6" x14ac:dyDescent="0.3">
      <c r="A49" s="30">
        <v>5</v>
      </c>
      <c r="B49" s="151" t="s">
        <v>480</v>
      </c>
      <c r="C49" s="153"/>
      <c r="D49" s="152"/>
      <c r="E49" s="30" t="s">
        <v>475</v>
      </c>
      <c r="F49" s="30" t="s">
        <v>39</v>
      </c>
    </row>
    <row r="50" spans="1:6" x14ac:dyDescent="0.3">
      <c r="A50" s="154" t="s">
        <v>476</v>
      </c>
      <c r="B50" s="167"/>
      <c r="C50" s="167"/>
      <c r="D50" s="168"/>
      <c r="E50" s="33">
        <f>'MCC - Sob Demanda'!J67</f>
        <v>318.89999999999998</v>
      </c>
      <c r="F50" s="33">
        <f>'MCC - Sob Demanda'!J64</f>
        <v>3826.91</v>
      </c>
    </row>
    <row r="51" spans="1:6" x14ac:dyDescent="0.3">
      <c r="A51" s="142"/>
      <c r="B51" s="143"/>
      <c r="C51" s="143"/>
      <c r="D51" s="143"/>
      <c r="E51" s="143"/>
      <c r="F51" s="144"/>
    </row>
    <row r="52" spans="1:6" x14ac:dyDescent="0.3">
      <c r="A52" s="145" t="s">
        <v>481</v>
      </c>
      <c r="B52" s="146"/>
      <c r="C52" s="146"/>
      <c r="D52" s="146"/>
      <c r="E52" s="146"/>
      <c r="F52" s="147"/>
    </row>
    <row r="53" spans="1:6" ht="16.5" customHeight="1" thickTop="1" thickBot="1" x14ac:dyDescent="0.35">
      <c r="A53" s="151" t="s">
        <v>482</v>
      </c>
      <c r="B53" s="152"/>
      <c r="C53" s="151" t="s">
        <v>475</v>
      </c>
      <c r="D53" s="152"/>
      <c r="E53" s="151" t="s">
        <v>39</v>
      </c>
      <c r="F53" s="152"/>
    </row>
    <row r="54" spans="1:6" x14ac:dyDescent="0.3">
      <c r="A54" s="154" t="s">
        <v>483</v>
      </c>
      <c r="B54" s="155"/>
      <c r="C54" s="178">
        <f>TRUNC((E38+E42+E46+E50),2)</f>
        <v>10267.9</v>
      </c>
      <c r="D54" s="155"/>
      <c r="E54" s="178">
        <f>TRUNC((F38+F42+F46+F50),2)</f>
        <v>123529.97</v>
      </c>
      <c r="F54" s="155"/>
    </row>
    <row r="55" spans="1:6" x14ac:dyDescent="0.3">
      <c r="A55" s="52"/>
      <c r="B55" s="52"/>
      <c r="C55" s="52"/>
      <c r="D55" s="52"/>
      <c r="E55" s="52"/>
      <c r="F55" s="52"/>
    </row>
    <row r="56" spans="1:6" x14ac:dyDescent="0.3">
      <c r="A56" s="52"/>
      <c r="B56" s="52"/>
      <c r="C56" s="52"/>
      <c r="D56" s="52"/>
      <c r="E56" s="52"/>
      <c r="F56" s="52"/>
    </row>
    <row r="57" spans="1:6" x14ac:dyDescent="0.3">
      <c r="A57" s="52"/>
      <c r="B57" s="52"/>
      <c r="C57" s="52"/>
      <c r="D57" s="52"/>
      <c r="E57" s="52"/>
      <c r="F57" s="52"/>
    </row>
    <row r="58" spans="1:6" x14ac:dyDescent="0.3">
      <c r="A58" s="52"/>
      <c r="B58" s="52"/>
      <c r="C58" s="52"/>
      <c r="D58" s="52"/>
      <c r="E58" s="52"/>
      <c r="F58" s="52"/>
    </row>
    <row r="59" spans="1:6" x14ac:dyDescent="0.3">
      <c r="A59" s="52"/>
      <c r="B59" s="52"/>
      <c r="C59" s="52"/>
      <c r="D59" s="52"/>
      <c r="E59" s="52"/>
      <c r="F59" s="52"/>
    </row>
    <row r="60" spans="1:6" x14ac:dyDescent="0.3">
      <c r="A60" s="8"/>
      <c r="B60" s="8"/>
      <c r="C60" s="8"/>
      <c r="D60" s="8"/>
      <c r="E60" s="8"/>
      <c r="F60" s="8"/>
    </row>
    <row r="61" spans="1:6" x14ac:dyDescent="0.3">
      <c r="A61" s="8"/>
      <c r="B61" s="8"/>
      <c r="C61" s="8"/>
      <c r="D61" s="8"/>
      <c r="E61" s="8"/>
      <c r="F61" s="8"/>
    </row>
    <row r="62" spans="1:6" x14ac:dyDescent="0.3">
      <c r="A62" s="8"/>
      <c r="B62" s="8"/>
      <c r="C62" s="8"/>
      <c r="D62" s="8"/>
      <c r="E62" s="8"/>
      <c r="F62" s="8"/>
    </row>
    <row r="63" spans="1:6" x14ac:dyDescent="0.3">
      <c r="A63" s="8"/>
      <c r="B63" s="8"/>
      <c r="C63" s="8"/>
      <c r="D63" s="8"/>
      <c r="E63" s="8"/>
      <c r="F63" s="8"/>
    </row>
  </sheetData>
  <mergeCells count="62">
    <mergeCell ref="A53:B53"/>
    <mergeCell ref="C53:D53"/>
    <mergeCell ref="E53:F53"/>
    <mergeCell ref="C54:D54"/>
    <mergeCell ref="E54:F54"/>
    <mergeCell ref="A54:B54"/>
    <mergeCell ref="A46:D46"/>
    <mergeCell ref="A50:D50"/>
    <mergeCell ref="A51:F51"/>
    <mergeCell ref="A52:F52"/>
    <mergeCell ref="A47:F47"/>
    <mergeCell ref="A48:F48"/>
    <mergeCell ref="B49:D49"/>
    <mergeCell ref="B45:D45"/>
    <mergeCell ref="A42:D42"/>
    <mergeCell ref="B31:F31"/>
    <mergeCell ref="B32:F32"/>
    <mergeCell ref="A33:F33"/>
    <mergeCell ref="A34:F34"/>
    <mergeCell ref="A38:B38"/>
    <mergeCell ref="A39:F39"/>
    <mergeCell ref="A40:F40"/>
    <mergeCell ref="B41:D41"/>
    <mergeCell ref="A43:F43"/>
    <mergeCell ref="A44:F44"/>
    <mergeCell ref="B30:F30"/>
    <mergeCell ref="A19:F19"/>
    <mergeCell ref="A20:F20"/>
    <mergeCell ref="B21:F21"/>
    <mergeCell ref="B22:F22"/>
    <mergeCell ref="B23:F23"/>
    <mergeCell ref="B24:F24"/>
    <mergeCell ref="B25:F25"/>
    <mergeCell ref="B26:F26"/>
    <mergeCell ref="B27:F27"/>
    <mergeCell ref="B28:F28"/>
    <mergeCell ref="B29:F29"/>
    <mergeCell ref="A15:F15"/>
    <mergeCell ref="A16:F16"/>
    <mergeCell ref="A17:B17"/>
    <mergeCell ref="C17:F17"/>
    <mergeCell ref="A18:B18"/>
    <mergeCell ref="E18:F18"/>
    <mergeCell ref="A12:B12"/>
    <mergeCell ref="A13:B13"/>
    <mergeCell ref="A14:B14"/>
    <mergeCell ref="C10:F10"/>
    <mergeCell ref="C11:F11"/>
    <mergeCell ref="C12:D12"/>
    <mergeCell ref="E12:F12"/>
    <mergeCell ref="A11:B11"/>
    <mergeCell ref="A7:F7"/>
    <mergeCell ref="A8:F8"/>
    <mergeCell ref="A9:B9"/>
    <mergeCell ref="C9:F9"/>
    <mergeCell ref="A10:B10"/>
    <mergeCell ref="A6:F6"/>
    <mergeCell ref="A1:F1"/>
    <mergeCell ref="A2:F2"/>
    <mergeCell ref="A3:F3"/>
    <mergeCell ref="A4:F4"/>
    <mergeCell ref="A5:F5"/>
  </mergeCells>
  <pageMargins left="0.511811024" right="0.511811024" top="0.78740157499999996" bottom="0.78740157499999996" header="0.31496062000000002" footer="0.31496062000000002"/>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929671-2511-4484-B5C5-E69248BB7314}">
  <dimension ref="A1:C18"/>
  <sheetViews>
    <sheetView workbookViewId="0">
      <selection sqref="A1:C1"/>
    </sheetView>
  </sheetViews>
  <sheetFormatPr defaultRowHeight="14.4" x14ac:dyDescent="0.3"/>
  <cols>
    <col min="2" max="2" width="45" customWidth="1"/>
    <col min="3" max="3" width="105.109375" customWidth="1"/>
  </cols>
  <sheetData>
    <row r="1" spans="1:3" ht="15.6" thickTop="1" thickBot="1" x14ac:dyDescent="0.35">
      <c r="A1" s="179" t="s">
        <v>0</v>
      </c>
      <c r="B1" s="180"/>
      <c r="C1" s="181"/>
    </row>
    <row r="2" spans="1:3" ht="15.6" thickTop="1" thickBot="1" x14ac:dyDescent="0.35">
      <c r="A2" s="20" t="s">
        <v>1</v>
      </c>
      <c r="B2" s="37" t="s">
        <v>2</v>
      </c>
      <c r="C2" s="20" t="s">
        <v>3</v>
      </c>
    </row>
    <row r="3" spans="1:3" ht="15.6" thickTop="1" thickBot="1" x14ac:dyDescent="0.35">
      <c r="A3" s="20">
        <f>ROW()-2</f>
        <v>1</v>
      </c>
      <c r="B3" s="37" t="s">
        <v>4</v>
      </c>
      <c r="C3" s="20" t="s">
        <v>5</v>
      </c>
    </row>
    <row r="4" spans="1:3" ht="15.6" thickTop="1" thickBot="1" x14ac:dyDescent="0.35">
      <c r="A4" s="20">
        <v>2</v>
      </c>
      <c r="B4" s="37" t="s">
        <v>6</v>
      </c>
      <c r="C4" s="20" t="s">
        <v>7</v>
      </c>
    </row>
    <row r="5" spans="1:3" ht="15.6" thickTop="1" thickBot="1" x14ac:dyDescent="0.35">
      <c r="A5" s="20">
        <v>3</v>
      </c>
      <c r="B5" s="104" t="s">
        <v>510</v>
      </c>
      <c r="C5" s="105" t="s">
        <v>511</v>
      </c>
    </row>
    <row r="6" spans="1:3" ht="15.6" thickTop="1" thickBot="1" x14ac:dyDescent="0.35">
      <c r="A6" s="20">
        <v>4</v>
      </c>
      <c r="B6" s="37" t="s">
        <v>8</v>
      </c>
      <c r="C6" s="20" t="s">
        <v>9</v>
      </c>
    </row>
    <row r="7" spans="1:3" ht="15.6" thickTop="1" thickBot="1" x14ac:dyDescent="0.35">
      <c r="A7" s="20">
        <v>5</v>
      </c>
      <c r="B7" s="37" t="s">
        <v>10</v>
      </c>
      <c r="C7" s="20" t="s">
        <v>11</v>
      </c>
    </row>
    <row r="8" spans="1:3" ht="15.6" thickTop="1" thickBot="1" x14ac:dyDescent="0.35">
      <c r="A8" s="20">
        <v>6</v>
      </c>
      <c r="B8" s="37" t="s">
        <v>12</v>
      </c>
      <c r="C8" s="20" t="s">
        <v>13</v>
      </c>
    </row>
    <row r="9" spans="1:3" ht="15.6" thickTop="1" thickBot="1" x14ac:dyDescent="0.35">
      <c r="A9" s="20">
        <v>7</v>
      </c>
      <c r="B9" s="37" t="s">
        <v>14</v>
      </c>
      <c r="C9" s="20" t="s">
        <v>15</v>
      </c>
    </row>
    <row r="10" spans="1:3" ht="15.6" thickTop="1" thickBot="1" x14ac:dyDescent="0.35">
      <c r="A10" s="20">
        <v>8</v>
      </c>
      <c r="B10" s="37" t="s">
        <v>16</v>
      </c>
      <c r="C10" s="20" t="s">
        <v>17</v>
      </c>
    </row>
    <row r="11" spans="1:3" ht="15.6" thickTop="1" thickBot="1" x14ac:dyDescent="0.35">
      <c r="A11" s="20">
        <v>9</v>
      </c>
      <c r="B11" s="37" t="s">
        <v>18</v>
      </c>
      <c r="C11" s="20" t="s">
        <v>19</v>
      </c>
    </row>
    <row r="12" spans="1:3" ht="15.6" thickTop="1" thickBot="1" x14ac:dyDescent="0.35">
      <c r="A12" s="20">
        <v>10</v>
      </c>
      <c r="B12" s="37" t="s">
        <v>20</v>
      </c>
      <c r="C12" s="20" t="s">
        <v>21</v>
      </c>
    </row>
    <row r="13" spans="1:3" ht="15.6" thickTop="1" thickBot="1" x14ac:dyDescent="0.35">
      <c r="A13" s="20">
        <v>11</v>
      </c>
      <c r="B13" s="37" t="s">
        <v>22</v>
      </c>
      <c r="C13" s="20" t="s">
        <v>23</v>
      </c>
    </row>
    <row r="14" spans="1:3" ht="15" thickTop="1" x14ac:dyDescent="0.3">
      <c r="A14" s="8"/>
      <c r="B14" s="8"/>
      <c r="C14" s="8"/>
    </row>
    <row r="15" spans="1:3" x14ac:dyDescent="0.3">
      <c r="A15" s="8"/>
      <c r="B15" s="8"/>
      <c r="C15" s="8"/>
    </row>
    <row r="16" spans="1:3" x14ac:dyDescent="0.3">
      <c r="A16" s="8"/>
      <c r="B16" s="8"/>
      <c r="C16" s="8"/>
    </row>
    <row r="17" spans="1:3" x14ac:dyDescent="0.3">
      <c r="A17" s="8"/>
      <c r="B17" s="8"/>
      <c r="C17" s="8"/>
    </row>
    <row r="18" spans="1:3" x14ac:dyDescent="0.3">
      <c r="A18" s="8"/>
      <c r="B18" s="8"/>
      <c r="C18" s="8"/>
    </row>
  </sheetData>
  <mergeCells count="1">
    <mergeCell ref="A1:C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6A5E3F-5C37-46FC-8739-2F8FB0BC7495}">
  <dimension ref="A1:B4"/>
  <sheetViews>
    <sheetView workbookViewId="0">
      <selection sqref="A1:B1"/>
    </sheetView>
  </sheetViews>
  <sheetFormatPr defaultRowHeight="14.4" x14ac:dyDescent="0.3"/>
  <cols>
    <col min="2" max="2" width="46.109375" customWidth="1"/>
  </cols>
  <sheetData>
    <row r="1" spans="1:2" x14ac:dyDescent="0.3">
      <c r="A1" s="179" t="s">
        <v>24</v>
      </c>
      <c r="B1" s="181"/>
    </row>
    <row r="2" spans="1:2" x14ac:dyDescent="0.3">
      <c r="A2" s="20">
        <f t="shared" ref="A2:A3" si="0">ROW()-1</f>
        <v>1</v>
      </c>
      <c r="B2" s="37" t="s">
        <v>21</v>
      </c>
    </row>
    <row r="3" spans="1:2" x14ac:dyDescent="0.3">
      <c r="A3" s="20">
        <f t="shared" si="0"/>
        <v>2</v>
      </c>
      <c r="B3" s="37" t="s">
        <v>25</v>
      </c>
    </row>
    <row r="4" spans="1:2" x14ac:dyDescent="0.3">
      <c r="B4" s="1"/>
    </row>
  </sheetData>
  <mergeCells count="1">
    <mergeCell ref="A1:B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1AF255B-6F62-42F8-97F1-0E9D0089723F}">
  <dimension ref="A1:D57"/>
  <sheetViews>
    <sheetView workbookViewId="0">
      <selection activeCell="D53" sqref="D53:D55"/>
    </sheetView>
  </sheetViews>
  <sheetFormatPr defaultRowHeight="14.4" x14ac:dyDescent="0.3"/>
  <cols>
    <col min="1" max="1" width="18.5546875" customWidth="1"/>
    <col min="2" max="2" width="13" customWidth="1"/>
    <col min="3" max="3" width="27.109375" customWidth="1"/>
    <col min="4" max="4" width="43.6640625" customWidth="1"/>
  </cols>
  <sheetData>
    <row r="1" spans="1:4" ht="24.9" customHeight="1" thickTop="1" thickBot="1" x14ac:dyDescent="0.35">
      <c r="A1" s="189" t="s">
        <v>26</v>
      </c>
      <c r="B1" s="190"/>
      <c r="C1" s="190"/>
      <c r="D1" s="191"/>
    </row>
    <row r="2" spans="1:4" ht="24.9" customHeight="1" thickTop="1" thickBot="1" x14ac:dyDescent="0.35">
      <c r="A2" s="187" t="s">
        <v>27</v>
      </c>
      <c r="B2" s="188"/>
      <c r="C2" s="39" t="s">
        <v>21</v>
      </c>
      <c r="D2" s="39" t="s">
        <v>23</v>
      </c>
    </row>
    <row r="3" spans="1:4" ht="24.9" customHeight="1" thickTop="1" thickBot="1" x14ac:dyDescent="0.35">
      <c r="A3" s="41" t="s">
        <v>28</v>
      </c>
      <c r="B3" s="41" t="s">
        <v>484</v>
      </c>
      <c r="C3" s="42">
        <f>TRUNC((2371.327),2)</f>
        <v>2371.3200000000002</v>
      </c>
      <c r="D3" s="42">
        <f>TRUNC((1586.86),2)</f>
        <v>1586.86</v>
      </c>
    </row>
    <row r="4" spans="1:4" ht="15.6" thickTop="1" thickBot="1" x14ac:dyDescent="0.35">
      <c r="A4" s="39" t="s">
        <v>28</v>
      </c>
      <c r="B4" s="39" t="s">
        <v>485</v>
      </c>
      <c r="C4" s="42"/>
      <c r="D4" s="42"/>
    </row>
    <row r="5" spans="1:4" ht="15.6" thickTop="1" thickBot="1" x14ac:dyDescent="0.35">
      <c r="A5" s="39" t="s">
        <v>28</v>
      </c>
      <c r="B5" s="39" t="s">
        <v>486</v>
      </c>
      <c r="C5" s="42"/>
      <c r="D5" s="42"/>
    </row>
    <row r="6" spans="1:4" ht="15.6" thickTop="1" thickBot="1" x14ac:dyDescent="0.35">
      <c r="A6" s="39" t="s">
        <v>28</v>
      </c>
      <c r="B6" s="39" t="s">
        <v>487</v>
      </c>
      <c r="C6" s="42"/>
      <c r="D6" s="42"/>
    </row>
    <row r="7" spans="1:4" ht="15.6" thickTop="1" thickBot="1" x14ac:dyDescent="0.35">
      <c r="A7" s="39" t="s">
        <v>28</v>
      </c>
      <c r="B7" s="39" t="s">
        <v>488</v>
      </c>
      <c r="C7" s="42"/>
      <c r="D7" s="42"/>
    </row>
    <row r="8" spans="1:4" ht="15.6" thickTop="1" thickBot="1" x14ac:dyDescent="0.35">
      <c r="A8" s="39" t="s">
        <v>28</v>
      </c>
      <c r="B8" s="39" t="s">
        <v>489</v>
      </c>
      <c r="C8" s="42"/>
      <c r="D8" s="42"/>
    </row>
    <row r="9" spans="1:4" ht="15.6" thickTop="1" thickBot="1" x14ac:dyDescent="0.35">
      <c r="A9" s="39" t="s">
        <v>28</v>
      </c>
      <c r="B9" s="39" t="s">
        <v>490</v>
      </c>
      <c r="C9" s="42"/>
      <c r="D9" s="42"/>
    </row>
    <row r="10" spans="1:4" ht="15.6" thickTop="1" thickBot="1" x14ac:dyDescent="0.35">
      <c r="A10" s="39" t="s">
        <v>28</v>
      </c>
      <c r="B10" s="39" t="s">
        <v>491</v>
      </c>
      <c r="C10" s="42"/>
      <c r="D10" s="42"/>
    </row>
    <row r="11" spans="1:4" ht="15.6" thickTop="1" thickBot="1" x14ac:dyDescent="0.35">
      <c r="A11" s="39" t="s">
        <v>28</v>
      </c>
      <c r="B11" s="39" t="s">
        <v>492</v>
      </c>
      <c r="C11" s="42"/>
      <c r="D11" s="42"/>
    </row>
    <row r="12" spans="1:4" ht="15.6" thickTop="1" thickBot="1" x14ac:dyDescent="0.35">
      <c r="A12" s="39" t="s">
        <v>28</v>
      </c>
      <c r="B12" s="39" t="s">
        <v>493</v>
      </c>
      <c r="C12" s="42"/>
      <c r="D12" s="42"/>
    </row>
    <row r="13" spans="1:4" ht="15" thickTop="1" x14ac:dyDescent="0.3">
      <c r="A13" s="44"/>
      <c r="B13" s="44"/>
      <c r="C13" s="44"/>
      <c r="D13" s="44"/>
    </row>
    <row r="14" spans="1:4" x14ac:dyDescent="0.3">
      <c r="A14" s="44"/>
      <c r="B14" s="44"/>
      <c r="C14" s="44"/>
      <c r="D14" s="44"/>
    </row>
    <row r="15" spans="1:4" x14ac:dyDescent="0.3">
      <c r="A15" s="44"/>
      <c r="B15" s="44"/>
      <c r="C15" s="44"/>
      <c r="D15" s="44"/>
    </row>
    <row r="16" spans="1:4" x14ac:dyDescent="0.3">
      <c r="A16" s="44"/>
      <c r="B16" s="44"/>
      <c r="C16" s="44"/>
      <c r="D16" s="44"/>
    </row>
    <row r="17" spans="1:4" ht="15" thickBot="1" x14ac:dyDescent="0.35">
      <c r="A17" s="44"/>
      <c r="B17" s="44"/>
      <c r="C17" s="44"/>
      <c r="D17" s="44"/>
    </row>
    <row r="18" spans="1:4" ht="15.6" thickTop="1" thickBot="1" x14ac:dyDescent="0.35">
      <c r="A18" s="44"/>
      <c r="B18" s="45" t="s">
        <v>494</v>
      </c>
      <c r="C18" s="45" t="s">
        <v>495</v>
      </c>
      <c r="D18" s="45" t="s">
        <v>496</v>
      </c>
    </row>
    <row r="19" spans="1:4" ht="15.6" thickTop="1" thickBot="1" x14ac:dyDescent="0.35">
      <c r="A19" s="44"/>
      <c r="B19" s="46" t="s">
        <v>497</v>
      </c>
      <c r="C19" s="61">
        <f>TRUNC((26.7),2)</f>
        <v>26.7</v>
      </c>
      <c r="D19" s="61">
        <f>TRUNC((4),2)</f>
        <v>4</v>
      </c>
    </row>
    <row r="20" spans="1:4" ht="15.6" thickTop="1" thickBot="1" x14ac:dyDescent="0.35">
      <c r="A20" s="44"/>
      <c r="B20" s="48" t="s">
        <v>498</v>
      </c>
      <c r="C20" s="47"/>
      <c r="D20" s="47"/>
    </row>
    <row r="21" spans="1:4" ht="15.6" thickTop="1" thickBot="1" x14ac:dyDescent="0.35">
      <c r="A21" s="44"/>
      <c r="B21" s="48" t="s">
        <v>498</v>
      </c>
      <c r="C21" s="47"/>
      <c r="D21" s="47"/>
    </row>
    <row r="22" spans="1:4" ht="15.6" thickTop="1" thickBot="1" x14ac:dyDescent="0.35">
      <c r="A22" s="44"/>
      <c r="B22" s="48" t="s">
        <v>498</v>
      </c>
      <c r="C22" s="47"/>
      <c r="D22" s="47"/>
    </row>
    <row r="23" spans="1:4" ht="15.6" thickTop="1" thickBot="1" x14ac:dyDescent="0.35">
      <c r="A23" s="44"/>
      <c r="B23" s="48" t="s">
        <v>498</v>
      </c>
      <c r="C23" s="47"/>
      <c r="D23" s="47"/>
    </row>
    <row r="24" spans="1:4" ht="15.6" thickTop="1" thickBot="1" x14ac:dyDescent="0.35">
      <c r="A24" s="44"/>
      <c r="B24" s="48" t="s">
        <v>498</v>
      </c>
      <c r="C24" s="47"/>
      <c r="D24" s="47"/>
    </row>
    <row r="25" spans="1:4" ht="15.6" thickTop="1" thickBot="1" x14ac:dyDescent="0.35">
      <c r="A25" s="44"/>
      <c r="B25" s="48" t="s">
        <v>498</v>
      </c>
      <c r="C25" s="47"/>
      <c r="D25" s="47"/>
    </row>
    <row r="26" spans="1:4" ht="15.6" thickTop="1" thickBot="1" x14ac:dyDescent="0.35">
      <c r="A26" s="44"/>
      <c r="B26" s="48" t="s">
        <v>498</v>
      </c>
      <c r="C26" s="47"/>
      <c r="D26" s="47"/>
    </row>
    <row r="27" spans="1:4" ht="15.6" thickTop="1" thickBot="1" x14ac:dyDescent="0.35">
      <c r="A27" s="44"/>
      <c r="B27" s="48" t="s">
        <v>498</v>
      </c>
      <c r="C27" s="47"/>
      <c r="D27" s="47"/>
    </row>
    <row r="28" spans="1:4" ht="15.6" thickTop="1" thickBot="1" x14ac:dyDescent="0.35">
      <c r="A28" s="44"/>
      <c r="B28" s="48" t="s">
        <v>498</v>
      </c>
      <c r="C28" s="47"/>
      <c r="D28" s="47"/>
    </row>
    <row r="29" spans="1:4" ht="15.6" thickTop="1" thickBot="1" x14ac:dyDescent="0.35">
      <c r="A29" s="44"/>
      <c r="B29" s="48" t="s">
        <v>498</v>
      </c>
      <c r="C29" s="47"/>
      <c r="D29" s="47"/>
    </row>
    <row r="30" spans="1:4" ht="15.6" thickTop="1" thickBot="1" x14ac:dyDescent="0.35">
      <c r="A30" s="44"/>
      <c r="B30" s="48" t="s">
        <v>498</v>
      </c>
      <c r="C30" s="47"/>
      <c r="D30" s="47"/>
    </row>
    <row r="31" spans="1:4" ht="15" thickTop="1" x14ac:dyDescent="0.3">
      <c r="A31" s="44"/>
      <c r="B31" s="44"/>
      <c r="C31" s="44"/>
      <c r="D31" s="44"/>
    </row>
    <row r="32" spans="1:4" x14ac:dyDescent="0.3">
      <c r="A32" s="44"/>
      <c r="B32" s="44"/>
      <c r="C32" s="44"/>
      <c r="D32" s="44"/>
    </row>
    <row r="33" spans="1:4" ht="15" thickBot="1" x14ac:dyDescent="0.35">
      <c r="A33" s="44"/>
      <c r="B33" s="44"/>
      <c r="C33" s="44"/>
      <c r="D33" s="44"/>
    </row>
    <row r="34" spans="1:4" ht="15.6" thickTop="1" thickBot="1" x14ac:dyDescent="0.35">
      <c r="A34" s="44"/>
      <c r="B34" s="44"/>
      <c r="C34" s="45" t="s">
        <v>499</v>
      </c>
      <c r="D34" s="44"/>
    </row>
    <row r="35" spans="1:4" ht="15.6" thickTop="1" thickBot="1" x14ac:dyDescent="0.35">
      <c r="A35" s="44"/>
      <c r="B35" s="44"/>
      <c r="C35" s="46" t="s">
        <v>500</v>
      </c>
      <c r="D35" s="44"/>
    </row>
    <row r="36" spans="1:4" ht="15.6" thickTop="1" thickBot="1" x14ac:dyDescent="0.35">
      <c r="A36" s="44"/>
      <c r="B36" s="44"/>
      <c r="C36" s="46">
        <v>21</v>
      </c>
      <c r="D36" s="44"/>
    </row>
    <row r="37" spans="1:4" ht="15" thickTop="1" x14ac:dyDescent="0.3"/>
    <row r="44" spans="1:4" ht="15" thickBot="1" x14ac:dyDescent="0.35"/>
    <row r="45" spans="1:4" ht="15.6" thickTop="1" thickBot="1" x14ac:dyDescent="0.35">
      <c r="B45" s="184" t="s">
        <v>42</v>
      </c>
      <c r="C45" s="185"/>
      <c r="D45" s="186"/>
    </row>
    <row r="46" spans="1:4" ht="15.6" thickTop="1" thickBot="1" x14ac:dyDescent="0.35">
      <c r="B46" s="182" t="s">
        <v>43</v>
      </c>
      <c r="C46" s="183"/>
      <c r="D46" s="121">
        <v>4.7300000000000002E-2</v>
      </c>
    </row>
    <row r="47" spans="1:4" ht="15.6" thickTop="1" thickBot="1" x14ac:dyDescent="0.35">
      <c r="B47" s="182" t="s">
        <v>44</v>
      </c>
      <c r="C47" s="183"/>
      <c r="D47" s="121">
        <v>5.57E-2</v>
      </c>
    </row>
    <row r="48" spans="1:4" ht="15.6" thickTop="1" thickBot="1" x14ac:dyDescent="0.35">
      <c r="B48" s="182" t="s">
        <v>45</v>
      </c>
      <c r="C48" s="183"/>
      <c r="D48" s="107">
        <f>SUM(D46:D47)</f>
        <v>0.10300000000000001</v>
      </c>
    </row>
    <row r="49" spans="2:4" ht="15" thickTop="1" x14ac:dyDescent="0.3">
      <c r="B49" s="108"/>
      <c r="C49" s="108"/>
    </row>
    <row r="50" spans="2:4" x14ac:dyDescent="0.3">
      <c r="B50" s="108"/>
      <c r="C50" s="108"/>
      <c r="D50" s="109"/>
    </row>
    <row r="51" spans="2:4" ht="15" thickBot="1" x14ac:dyDescent="0.35">
      <c r="C51" s="110"/>
      <c r="D51" s="110"/>
    </row>
    <row r="52" spans="2:4" ht="15.6" thickTop="1" thickBot="1" x14ac:dyDescent="0.35">
      <c r="B52" s="184" t="s">
        <v>512</v>
      </c>
      <c r="C52" s="185"/>
      <c r="D52" s="186"/>
    </row>
    <row r="53" spans="2:4" ht="15.6" thickTop="1" thickBot="1" x14ac:dyDescent="0.35">
      <c r="B53" s="182" t="s">
        <v>46</v>
      </c>
      <c r="C53" s="183"/>
      <c r="D53" s="121">
        <v>6.4999999999999997E-3</v>
      </c>
    </row>
    <row r="54" spans="2:4" ht="15.6" thickTop="1" thickBot="1" x14ac:dyDescent="0.35">
      <c r="B54" s="182" t="s">
        <v>47</v>
      </c>
      <c r="C54" s="183"/>
      <c r="D54" s="121">
        <v>0.03</v>
      </c>
    </row>
    <row r="55" spans="2:4" ht="15.6" thickTop="1" thickBot="1" x14ac:dyDescent="0.35">
      <c r="B55" s="182" t="s">
        <v>48</v>
      </c>
      <c r="C55" s="183"/>
      <c r="D55" s="121">
        <v>0.05</v>
      </c>
    </row>
    <row r="56" spans="2:4" ht="15.6" thickTop="1" thickBot="1" x14ac:dyDescent="0.35">
      <c r="B56" s="182" t="s">
        <v>45</v>
      </c>
      <c r="C56" s="183"/>
      <c r="D56" s="107">
        <f>SUM(D53:D55)</f>
        <v>8.6499999999999994E-2</v>
      </c>
    </row>
    <row r="57" spans="2:4" ht="15" thickTop="1" x14ac:dyDescent="0.3"/>
  </sheetData>
  <mergeCells count="11">
    <mergeCell ref="A2:B2"/>
    <mergeCell ref="A1:D1"/>
    <mergeCell ref="B45:D45"/>
    <mergeCell ref="B46:C46"/>
    <mergeCell ref="B47:C47"/>
    <mergeCell ref="B56:C56"/>
    <mergeCell ref="B48:C48"/>
    <mergeCell ref="B52:D52"/>
    <mergeCell ref="B53:C53"/>
    <mergeCell ref="B54:C54"/>
    <mergeCell ref="B55:C55"/>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046D8C8-51ED-445E-A19F-7C5159309A22}">
  <dimension ref="A1:K10"/>
  <sheetViews>
    <sheetView zoomScale="80" zoomScaleNormal="80" workbookViewId="0">
      <selection activeCell="F3" sqref="F3"/>
    </sheetView>
  </sheetViews>
  <sheetFormatPr defaultRowHeight="14.4" x14ac:dyDescent="0.3"/>
  <cols>
    <col min="2" max="2" width="38.5546875" customWidth="1"/>
    <col min="3" max="3" width="20.109375" customWidth="1"/>
    <col min="4" max="4" width="21.44140625" customWidth="1"/>
    <col min="5" max="5" width="20.109375" customWidth="1"/>
    <col min="6" max="6" width="35.109375" customWidth="1"/>
    <col min="7" max="8" width="19.5546875" customWidth="1"/>
    <col min="9" max="9" width="33.33203125" customWidth="1"/>
    <col min="10" max="10" width="20.44140625" customWidth="1"/>
    <col min="11" max="11" width="24" customWidth="1"/>
  </cols>
  <sheetData>
    <row r="1" spans="1:11" s="6" customFormat="1" ht="20.100000000000001" customHeight="1" thickTop="1" thickBot="1" x14ac:dyDescent="0.35">
      <c r="A1" s="179" t="s">
        <v>29</v>
      </c>
      <c r="B1" s="180"/>
      <c r="C1" s="180"/>
      <c r="D1" s="180"/>
      <c r="E1" s="180"/>
      <c r="F1" s="180"/>
      <c r="G1" s="180"/>
      <c r="H1" s="180"/>
      <c r="I1" s="180"/>
      <c r="J1" s="180"/>
      <c r="K1" s="181"/>
    </row>
    <row r="2" spans="1:11" s="6" customFormat="1" ht="30" customHeight="1" thickTop="1" thickBot="1" x14ac:dyDescent="0.35">
      <c r="A2" s="20" t="s">
        <v>1</v>
      </c>
      <c r="B2" s="37" t="s">
        <v>30</v>
      </c>
      <c r="C2" s="20" t="s">
        <v>31</v>
      </c>
      <c r="D2" s="20" t="s">
        <v>32</v>
      </c>
      <c r="E2" s="20" t="s">
        <v>33</v>
      </c>
      <c r="F2" s="20" t="s">
        <v>34</v>
      </c>
      <c r="G2" s="20" t="s">
        <v>35</v>
      </c>
      <c r="H2" s="20" t="s">
        <v>36</v>
      </c>
      <c r="I2" s="41" t="s">
        <v>37</v>
      </c>
      <c r="J2" s="20" t="s">
        <v>38</v>
      </c>
      <c r="K2" s="20" t="s">
        <v>39</v>
      </c>
    </row>
    <row r="3" spans="1:11" s="6" customFormat="1" ht="20.100000000000001" customHeight="1" thickTop="1" thickBot="1" x14ac:dyDescent="0.35">
      <c r="A3" s="20">
        <v>1</v>
      </c>
      <c r="B3" s="37" t="s">
        <v>40</v>
      </c>
      <c r="C3" s="20" t="s">
        <v>41</v>
      </c>
      <c r="D3" s="20"/>
      <c r="E3" s="20">
        <v>2</v>
      </c>
      <c r="F3" s="50">
        <v>130.47999999999999</v>
      </c>
      <c r="G3" s="49">
        <f>TRUNC((F3*'Salários.VA.VT.QteDias'!D48),2)</f>
        <v>13.43</v>
      </c>
      <c r="H3" s="49">
        <f>TRUNC((((F3+G3)/(1-'Salários.VA.VT.QteDias'!D56))*'Salários.VA.VT.QteDias'!D56),2)</f>
        <v>13.62</v>
      </c>
      <c r="I3" s="49">
        <f>TRUNC((F3+G3+H3),2)</f>
        <v>157.53</v>
      </c>
      <c r="J3" s="49"/>
      <c r="K3" s="316">
        <f>TRUNC((E3*I3),2)</f>
        <v>315.06</v>
      </c>
    </row>
    <row r="4" spans="1:11" s="6" customFormat="1" ht="20.100000000000001" customHeight="1" x14ac:dyDescent="0.3">
      <c r="A4" s="51"/>
      <c r="B4" s="51"/>
      <c r="C4" s="51"/>
      <c r="D4" s="51"/>
      <c r="E4" s="51"/>
      <c r="F4" s="51"/>
      <c r="G4" s="51"/>
      <c r="H4" s="51"/>
      <c r="I4" s="51"/>
      <c r="J4" s="51"/>
      <c r="K4" s="51"/>
    </row>
    <row r="5" spans="1:11" s="6" customFormat="1" ht="20.100000000000001" customHeight="1" x14ac:dyDescent="0.3">
      <c r="A5" s="51"/>
      <c r="B5" s="51"/>
      <c r="C5" s="51"/>
      <c r="D5" s="51"/>
      <c r="E5" s="51"/>
      <c r="F5" s="51"/>
      <c r="G5" s="51"/>
      <c r="H5" s="51"/>
      <c r="I5" s="51"/>
      <c r="J5" s="51"/>
      <c r="K5" s="51"/>
    </row>
    <row r="6" spans="1:11" s="6" customFormat="1" ht="20.100000000000001" customHeight="1" x14ac:dyDescent="0.3">
      <c r="A6" s="51"/>
      <c r="B6" s="51"/>
      <c r="C6" s="51"/>
      <c r="D6" s="51"/>
      <c r="E6" s="51"/>
      <c r="F6" s="51"/>
      <c r="G6" s="51"/>
      <c r="H6" s="51"/>
      <c r="I6" s="51"/>
      <c r="J6" s="51"/>
      <c r="K6" s="51"/>
    </row>
    <row r="7" spans="1:11" s="6" customFormat="1" ht="20.100000000000001" customHeight="1" x14ac:dyDescent="0.3">
      <c r="A7" s="51"/>
      <c r="B7" s="51"/>
      <c r="C7" s="51"/>
      <c r="D7" s="51"/>
      <c r="E7" s="51"/>
      <c r="F7" s="51"/>
      <c r="G7" s="51"/>
      <c r="H7" s="51"/>
      <c r="I7" s="51"/>
      <c r="J7" s="51"/>
      <c r="K7" s="51"/>
    </row>
    <row r="8" spans="1:11" x14ac:dyDescent="0.3">
      <c r="A8" s="8"/>
      <c r="B8" s="8"/>
      <c r="C8" s="8"/>
      <c r="D8" s="8"/>
      <c r="E8" s="8"/>
      <c r="F8" s="8"/>
      <c r="G8" s="8"/>
      <c r="H8" s="8"/>
      <c r="I8" s="8"/>
      <c r="J8" s="8"/>
      <c r="K8" s="8"/>
    </row>
    <row r="9" spans="1:11" x14ac:dyDescent="0.3">
      <c r="A9" s="8"/>
      <c r="B9" s="8"/>
      <c r="C9" s="8"/>
      <c r="D9" s="8"/>
      <c r="E9" s="8"/>
      <c r="F9" s="8"/>
      <c r="G9" s="8"/>
      <c r="H9" s="8"/>
      <c r="I9" s="8"/>
      <c r="J9" s="8"/>
      <c r="K9" s="8"/>
    </row>
    <row r="10" spans="1:11" x14ac:dyDescent="0.3">
      <c r="A10" s="8"/>
      <c r="B10" s="8"/>
      <c r="C10" s="8"/>
      <c r="D10" s="8"/>
      <c r="E10" s="8"/>
      <c r="F10" s="8"/>
      <c r="G10" s="8"/>
      <c r="H10" s="8"/>
      <c r="I10" s="8"/>
      <c r="J10" s="8"/>
      <c r="K10" s="8"/>
    </row>
  </sheetData>
  <sheetProtection sheet="1" objects="1" scenarios="1"/>
  <protectedRanges>
    <protectedRange sqref="F3" name="Intervalo1"/>
  </protectedRanges>
  <mergeCells count="1">
    <mergeCell ref="A1:K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8E17898-7085-48FC-828B-2890BA461999}">
  <dimension ref="A1:K15"/>
  <sheetViews>
    <sheetView zoomScale="80" zoomScaleNormal="80" workbookViewId="0">
      <selection activeCell="D7" sqref="D7"/>
    </sheetView>
  </sheetViews>
  <sheetFormatPr defaultRowHeight="14.4" x14ac:dyDescent="0.3"/>
  <cols>
    <col min="2" max="2" width="36.6640625" customWidth="1"/>
    <col min="3" max="3" width="18.5546875" customWidth="1"/>
    <col min="4" max="4" width="18.44140625" customWidth="1"/>
    <col min="5" max="8" width="18.5546875" customWidth="1"/>
    <col min="9" max="9" width="18.33203125" customWidth="1"/>
    <col min="10" max="11" width="18.6640625" customWidth="1"/>
  </cols>
  <sheetData>
    <row r="1" spans="1:11" s="5" customFormat="1" ht="20.100000000000001" customHeight="1" thickTop="1" thickBot="1" x14ac:dyDescent="0.35">
      <c r="A1" s="179" t="s">
        <v>49</v>
      </c>
      <c r="B1" s="180"/>
      <c r="C1" s="180"/>
      <c r="D1" s="180"/>
      <c r="E1" s="180"/>
      <c r="F1" s="180"/>
      <c r="G1" s="180"/>
      <c r="H1" s="180"/>
      <c r="I1" s="180"/>
      <c r="J1" s="180"/>
      <c r="K1" s="181"/>
    </row>
    <row r="2" spans="1:11" s="7" customFormat="1" ht="30" customHeight="1" thickTop="1" thickBot="1" x14ac:dyDescent="0.35">
      <c r="A2" s="20" t="s">
        <v>1</v>
      </c>
      <c r="B2" s="43" t="s">
        <v>30</v>
      </c>
      <c r="C2" s="41" t="s">
        <v>50</v>
      </c>
      <c r="D2" s="41" t="s">
        <v>34</v>
      </c>
      <c r="E2" s="41" t="s">
        <v>35</v>
      </c>
      <c r="F2" s="41" t="s">
        <v>36</v>
      </c>
      <c r="G2" s="41" t="s">
        <v>37</v>
      </c>
      <c r="H2" s="41" t="s">
        <v>32</v>
      </c>
      <c r="I2" s="41" t="s">
        <v>33</v>
      </c>
      <c r="J2" s="41" t="s">
        <v>51</v>
      </c>
      <c r="K2" s="41" t="s">
        <v>52</v>
      </c>
    </row>
    <row r="3" spans="1:11" s="5" customFormat="1" ht="20.100000000000001" customHeight="1" thickTop="1" thickBot="1" x14ac:dyDescent="0.35">
      <c r="A3" s="23">
        <v>1</v>
      </c>
      <c r="B3" s="53" t="s">
        <v>53</v>
      </c>
      <c r="C3" s="23" t="s">
        <v>54</v>
      </c>
      <c r="D3" s="122">
        <v>6</v>
      </c>
      <c r="E3" s="40">
        <f>TRUNC((D3*'Salários.VA.VT.QteDias'!$D$48),2)</f>
        <v>0.61</v>
      </c>
      <c r="F3" s="40">
        <f>TRUNC((((D3+E3)/(1-'Salários.VA.VT.QteDias'!$D$56))*'Salários.VA.VT.QteDias'!$D$56),2)</f>
        <v>0.62</v>
      </c>
      <c r="G3" s="40">
        <f t="shared" ref="G3:G8" si="0">TRUNC((D3+E3+F3),2)</f>
        <v>7.23</v>
      </c>
      <c r="H3" s="39">
        <v>5</v>
      </c>
      <c r="I3" s="39">
        <f>H3*12</f>
        <v>60</v>
      </c>
      <c r="J3" s="40">
        <f t="shared" ref="J3:J8" si="1">TRUNC((G3*H3),2)</f>
        <v>36.15</v>
      </c>
      <c r="K3" s="40">
        <f t="shared" ref="K3:K8" si="2">TRUNC((J3*12),2)</f>
        <v>433.8</v>
      </c>
    </row>
    <row r="4" spans="1:11" s="5" customFormat="1" ht="20.100000000000001" customHeight="1" thickTop="1" thickBot="1" x14ac:dyDescent="0.35">
      <c r="A4" s="23">
        <v>2</v>
      </c>
      <c r="B4" s="53" t="s">
        <v>55</v>
      </c>
      <c r="C4" s="23" t="s">
        <v>56</v>
      </c>
      <c r="D4" s="122">
        <v>14.19</v>
      </c>
      <c r="E4" s="40">
        <f>TRUNC((D4*'Salários.VA.VT.QteDias'!$D$48),2)</f>
        <v>1.46</v>
      </c>
      <c r="F4" s="40">
        <f>TRUNC((((D4+E4)/(1-'Salários.VA.VT.QteDias'!$D$56))*'Salários.VA.VT.QteDias'!$D$56),2)</f>
        <v>1.48</v>
      </c>
      <c r="G4" s="40">
        <f t="shared" si="0"/>
        <v>17.13</v>
      </c>
      <c r="H4" s="39">
        <v>0</v>
      </c>
      <c r="I4" s="39">
        <v>2</v>
      </c>
      <c r="J4" s="40">
        <f t="shared" si="1"/>
        <v>0</v>
      </c>
      <c r="K4" s="40">
        <f t="shared" si="2"/>
        <v>0</v>
      </c>
    </row>
    <row r="5" spans="1:11" s="5" customFormat="1" ht="20.100000000000001" customHeight="1" thickTop="1" thickBot="1" x14ac:dyDescent="0.35">
      <c r="A5" s="23">
        <v>3</v>
      </c>
      <c r="B5" s="53" t="s">
        <v>57</v>
      </c>
      <c r="C5" s="23" t="s">
        <v>58</v>
      </c>
      <c r="D5" s="122">
        <v>17.43</v>
      </c>
      <c r="E5" s="40">
        <f>TRUNC((D5*'Salários.VA.VT.QteDias'!$D$48),2)</f>
        <v>1.79</v>
      </c>
      <c r="F5" s="40">
        <f>TRUNC((((D5+E5)/(1-'Salários.VA.VT.QteDias'!$D$56))*'Salários.VA.VT.QteDias'!$D$56),2)</f>
        <v>1.81</v>
      </c>
      <c r="G5" s="40">
        <f t="shared" si="0"/>
        <v>21.03</v>
      </c>
      <c r="H5" s="39">
        <v>4</v>
      </c>
      <c r="I5" s="39">
        <f t="shared" ref="I5:I9" si="3">H5*12</f>
        <v>48</v>
      </c>
      <c r="J5" s="40">
        <f t="shared" si="1"/>
        <v>84.12</v>
      </c>
      <c r="K5" s="40">
        <f t="shared" si="2"/>
        <v>1009.44</v>
      </c>
    </row>
    <row r="6" spans="1:11" s="5" customFormat="1" ht="20.100000000000001" customHeight="1" thickTop="1" thickBot="1" x14ac:dyDescent="0.35">
      <c r="A6" s="23">
        <v>4</v>
      </c>
      <c r="B6" s="53" t="s">
        <v>59</v>
      </c>
      <c r="C6" s="23" t="s">
        <v>60</v>
      </c>
      <c r="D6" s="122">
        <v>12.73</v>
      </c>
      <c r="E6" s="40">
        <f>TRUNC((D6*'Salários.VA.VT.QteDias'!$D$48),2)</f>
        <v>1.31</v>
      </c>
      <c r="F6" s="40">
        <f>TRUNC((((D6+E6)/(1-'Salários.VA.VT.QteDias'!$D$56))*'Salários.VA.VT.QteDias'!$D$56),2)</f>
        <v>1.32</v>
      </c>
      <c r="G6" s="40">
        <f t="shared" si="0"/>
        <v>15.36</v>
      </c>
      <c r="H6" s="39">
        <v>3</v>
      </c>
      <c r="I6" s="39">
        <f t="shared" si="3"/>
        <v>36</v>
      </c>
      <c r="J6" s="40">
        <f t="shared" si="1"/>
        <v>46.08</v>
      </c>
      <c r="K6" s="40">
        <f t="shared" si="2"/>
        <v>552.96</v>
      </c>
    </row>
    <row r="7" spans="1:11" s="5" customFormat="1" ht="20.100000000000001" customHeight="1" thickTop="1" thickBot="1" x14ac:dyDescent="0.35">
      <c r="A7" s="23">
        <v>5</v>
      </c>
      <c r="B7" s="53" t="s">
        <v>61</v>
      </c>
      <c r="C7" s="23" t="s">
        <v>62</v>
      </c>
      <c r="D7" s="122">
        <v>7.97</v>
      </c>
      <c r="E7" s="40">
        <f>TRUNC((D7*'Salários.VA.VT.QteDias'!$D$48),2)</f>
        <v>0.82</v>
      </c>
      <c r="F7" s="40">
        <f>TRUNC((((D7+E7)/(1-'Salários.VA.VT.QteDias'!$D$56))*'Salários.VA.VT.QteDias'!$D$56),2)</f>
        <v>0.83</v>
      </c>
      <c r="G7" s="40">
        <f t="shared" si="0"/>
        <v>9.6199999999999992</v>
      </c>
      <c r="H7" s="39">
        <v>0</v>
      </c>
      <c r="I7" s="39">
        <f t="shared" si="3"/>
        <v>0</v>
      </c>
      <c r="J7" s="40">
        <f t="shared" si="1"/>
        <v>0</v>
      </c>
      <c r="K7" s="40">
        <f t="shared" si="2"/>
        <v>0</v>
      </c>
    </row>
    <row r="8" spans="1:11" s="5" customFormat="1" ht="20.100000000000001" customHeight="1" thickTop="1" thickBot="1" x14ac:dyDescent="0.35">
      <c r="A8" s="23">
        <v>6</v>
      </c>
      <c r="B8" s="54" t="s">
        <v>63</v>
      </c>
      <c r="C8" s="39" t="s">
        <v>64</v>
      </c>
      <c r="D8" s="122">
        <v>10.31</v>
      </c>
      <c r="E8" s="40">
        <f>TRUNC((D8*'Salários.VA.VT.QteDias'!$D$48),2)</f>
        <v>1.06</v>
      </c>
      <c r="F8" s="40">
        <f>TRUNC((((D8+E8)/(1-'Salários.VA.VT.QteDias'!$D$56))*'Salários.VA.VT.QteDias'!$D$56),2)</f>
        <v>1.07</v>
      </c>
      <c r="G8" s="40">
        <f t="shared" si="0"/>
        <v>12.44</v>
      </c>
      <c r="H8" s="39">
        <v>10</v>
      </c>
      <c r="I8" s="39">
        <f>H8*12</f>
        <v>120</v>
      </c>
      <c r="J8" s="40">
        <f t="shared" si="1"/>
        <v>124.4</v>
      </c>
      <c r="K8" s="40">
        <f t="shared" si="2"/>
        <v>1492.8</v>
      </c>
    </row>
    <row r="9" spans="1:11" s="5" customFormat="1" ht="20.100000000000001" customHeight="1" thickTop="1" thickBot="1" x14ac:dyDescent="0.35">
      <c r="A9" s="23">
        <v>7</v>
      </c>
      <c r="B9" s="38"/>
      <c r="C9" s="39"/>
      <c r="D9" s="40"/>
      <c r="E9" s="40"/>
      <c r="F9" s="40"/>
      <c r="G9" s="40"/>
      <c r="H9" s="39"/>
      <c r="I9" s="39">
        <f t="shared" si="3"/>
        <v>0</v>
      </c>
      <c r="J9" s="40"/>
      <c r="K9" s="40"/>
    </row>
    <row r="10" spans="1:11" s="5" customFormat="1" ht="20.100000000000001" customHeight="1" x14ac:dyDescent="0.3">
      <c r="A10" s="23">
        <v>8</v>
      </c>
      <c r="B10" s="187" t="s">
        <v>65</v>
      </c>
      <c r="C10" s="192"/>
      <c r="D10" s="192"/>
      <c r="E10" s="192"/>
      <c r="F10" s="192"/>
      <c r="G10" s="192"/>
      <c r="H10" s="192"/>
      <c r="I10" s="188"/>
      <c r="J10" s="42">
        <f>SUM(J3:J9)</f>
        <v>290.75</v>
      </c>
      <c r="K10" s="42">
        <f>SUM(K3:K9)</f>
        <v>3489</v>
      </c>
    </row>
    <row r="11" spans="1:11" s="5" customFormat="1" ht="20.100000000000001" customHeight="1" x14ac:dyDescent="0.3">
      <c r="A11" s="51"/>
      <c r="B11" s="51"/>
      <c r="C11" s="51"/>
      <c r="D11" s="51"/>
      <c r="E11" s="51"/>
      <c r="F11" s="51"/>
      <c r="G11" s="51"/>
      <c r="H11" s="51"/>
      <c r="I11" s="51"/>
      <c r="J11" s="51"/>
      <c r="K11" s="51"/>
    </row>
    <row r="12" spans="1:11" s="5" customFormat="1" ht="20.100000000000001" customHeight="1" x14ac:dyDescent="0.3">
      <c r="A12" s="51"/>
      <c r="B12" s="51"/>
      <c r="C12" s="51"/>
      <c r="D12" s="51"/>
      <c r="E12" s="51"/>
      <c r="F12" s="51"/>
      <c r="G12" s="51"/>
      <c r="H12" s="51"/>
      <c r="I12" s="51"/>
      <c r="J12" s="51"/>
      <c r="K12" s="51"/>
    </row>
    <row r="13" spans="1:11" s="5" customFormat="1" ht="20.100000000000001" customHeight="1" x14ac:dyDescent="0.3">
      <c r="A13" s="51"/>
      <c r="B13" s="51"/>
      <c r="C13" s="51"/>
      <c r="D13" s="51"/>
      <c r="E13" s="51"/>
      <c r="F13" s="51"/>
      <c r="G13" s="51"/>
      <c r="H13" s="51"/>
      <c r="I13" s="51"/>
      <c r="J13" s="51"/>
      <c r="K13" s="51"/>
    </row>
    <row r="14" spans="1:11" x14ac:dyDescent="0.3">
      <c r="A14" s="8"/>
      <c r="B14" s="8"/>
      <c r="C14" s="8"/>
      <c r="D14" s="8"/>
      <c r="E14" s="8"/>
      <c r="F14" s="8"/>
      <c r="G14" s="8"/>
      <c r="H14" s="8"/>
      <c r="I14" s="8"/>
      <c r="J14" s="8"/>
      <c r="K14" s="8"/>
    </row>
    <row r="15" spans="1:11" x14ac:dyDescent="0.3">
      <c r="A15" s="8"/>
      <c r="B15" s="8"/>
      <c r="C15" s="8"/>
      <c r="D15" s="8"/>
      <c r="E15" s="8"/>
      <c r="F15" s="8"/>
      <c r="G15" s="8"/>
      <c r="H15" s="8"/>
      <c r="I15" s="8"/>
      <c r="J15" s="8"/>
      <c r="K15" s="8"/>
    </row>
  </sheetData>
  <sheetProtection sheet="1" objects="1" scenarios="1"/>
  <protectedRanges>
    <protectedRange sqref="D3:D8" name="Intervalo1"/>
  </protectedRanges>
  <mergeCells count="2">
    <mergeCell ref="A1:K1"/>
    <mergeCell ref="B10:I10"/>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7F68314-C6BD-4F38-AA0C-3F3FE9BD1853}">
  <dimension ref="A1:G34"/>
  <sheetViews>
    <sheetView zoomScaleNormal="100" workbookViewId="0">
      <selection activeCell="D9" sqref="D9"/>
    </sheetView>
  </sheetViews>
  <sheetFormatPr defaultRowHeight="14.4" x14ac:dyDescent="0.3"/>
  <cols>
    <col min="2" max="2" width="69.109375" customWidth="1"/>
    <col min="3" max="3" width="20.44140625" customWidth="1"/>
    <col min="4" max="4" width="17.109375" customWidth="1"/>
    <col min="5" max="5" width="19" customWidth="1"/>
    <col min="6" max="6" width="20.109375" customWidth="1"/>
    <col min="7" max="7" width="21.109375" customWidth="1"/>
  </cols>
  <sheetData>
    <row r="1" spans="1:7" ht="20.100000000000001" customHeight="1" thickTop="1" thickBot="1" x14ac:dyDescent="0.35">
      <c r="A1" s="179" t="s">
        <v>66</v>
      </c>
      <c r="B1" s="180"/>
      <c r="C1" s="180"/>
      <c r="D1" s="180"/>
      <c r="E1" s="180"/>
      <c r="F1" s="180"/>
      <c r="G1" s="181"/>
    </row>
    <row r="2" spans="1:7" ht="20.100000000000001" customHeight="1" thickTop="1" thickBot="1" x14ac:dyDescent="0.35">
      <c r="A2" s="55" t="s">
        <v>1</v>
      </c>
      <c r="B2" s="55" t="s">
        <v>67</v>
      </c>
      <c r="C2" s="55" t="s">
        <v>50</v>
      </c>
      <c r="D2" s="55" t="s">
        <v>68</v>
      </c>
      <c r="E2" s="55" t="s">
        <v>33</v>
      </c>
      <c r="F2" s="55" t="s">
        <v>69</v>
      </c>
      <c r="G2" s="55" t="s">
        <v>52</v>
      </c>
    </row>
    <row r="3" spans="1:7" ht="20.100000000000001" customHeight="1" thickTop="1" thickBot="1" x14ac:dyDescent="0.35">
      <c r="A3" s="23">
        <f>ROW()-2</f>
        <v>1</v>
      </c>
      <c r="B3" s="56" t="s">
        <v>70</v>
      </c>
      <c r="C3" s="39" t="s">
        <v>71</v>
      </c>
      <c r="D3" s="122">
        <v>7.58</v>
      </c>
      <c r="E3" s="39">
        <v>12</v>
      </c>
      <c r="F3" s="39"/>
      <c r="G3" s="40">
        <f>D3*E3</f>
        <v>90.960000000000008</v>
      </c>
    </row>
    <row r="4" spans="1:7" ht="20.100000000000001" customHeight="1" thickTop="1" thickBot="1" x14ac:dyDescent="0.35">
      <c r="A4" s="23">
        <v>2</v>
      </c>
      <c r="B4" s="56" t="s">
        <v>72</v>
      </c>
      <c r="C4" s="39" t="s">
        <v>71</v>
      </c>
      <c r="D4" s="122">
        <v>2.0499999999999998</v>
      </c>
      <c r="E4" s="39">
        <v>12</v>
      </c>
      <c r="F4" s="39"/>
      <c r="G4" s="40">
        <f t="shared" ref="G4:G14" si="0">D4*E4</f>
        <v>24.599999999999998</v>
      </c>
    </row>
    <row r="5" spans="1:7" ht="20.100000000000001" customHeight="1" thickTop="1" thickBot="1" x14ac:dyDescent="0.35">
      <c r="A5" s="23">
        <v>3</v>
      </c>
      <c r="B5" s="56" t="s">
        <v>73</v>
      </c>
      <c r="C5" s="39" t="s">
        <v>74</v>
      </c>
      <c r="D5" s="122">
        <v>1.66</v>
      </c>
      <c r="E5" s="39">
        <v>12</v>
      </c>
      <c r="F5" s="39"/>
      <c r="G5" s="40">
        <f t="shared" si="0"/>
        <v>19.919999999999998</v>
      </c>
    </row>
    <row r="6" spans="1:7" ht="20.100000000000001" customHeight="1" thickTop="1" thickBot="1" x14ac:dyDescent="0.35">
      <c r="A6" s="23">
        <v>4</v>
      </c>
      <c r="B6" s="56" t="s">
        <v>75</v>
      </c>
      <c r="C6" s="39" t="s">
        <v>76</v>
      </c>
      <c r="D6" s="122">
        <v>4.04</v>
      </c>
      <c r="E6" s="57">
        <v>6</v>
      </c>
      <c r="F6" s="39"/>
      <c r="G6" s="40">
        <f t="shared" si="0"/>
        <v>24.240000000000002</v>
      </c>
    </row>
    <row r="7" spans="1:7" ht="20.100000000000001" customHeight="1" thickTop="1" thickBot="1" x14ac:dyDescent="0.35">
      <c r="A7" s="23">
        <v>5</v>
      </c>
      <c r="B7" s="56" t="s">
        <v>77</v>
      </c>
      <c r="C7" s="39" t="s">
        <v>74</v>
      </c>
      <c r="D7" s="122">
        <v>3.36</v>
      </c>
      <c r="E7" s="39">
        <v>3</v>
      </c>
      <c r="F7" s="39"/>
      <c r="G7" s="40">
        <f t="shared" si="0"/>
        <v>10.08</v>
      </c>
    </row>
    <row r="8" spans="1:7" ht="20.100000000000001" customHeight="1" thickTop="1" thickBot="1" x14ac:dyDescent="0.35">
      <c r="A8" s="23">
        <v>6</v>
      </c>
      <c r="B8" s="56" t="s">
        <v>78</v>
      </c>
      <c r="C8" s="39" t="s">
        <v>79</v>
      </c>
      <c r="D8" s="122">
        <v>4.4000000000000004</v>
      </c>
      <c r="E8" s="39">
        <v>4</v>
      </c>
      <c r="F8" s="39"/>
      <c r="G8" s="40">
        <f t="shared" si="0"/>
        <v>17.600000000000001</v>
      </c>
    </row>
    <row r="9" spans="1:7" ht="20.100000000000001" customHeight="1" thickTop="1" thickBot="1" x14ac:dyDescent="0.35">
      <c r="A9" s="23">
        <v>7</v>
      </c>
      <c r="B9" s="56" t="s">
        <v>80</v>
      </c>
      <c r="C9" s="39" t="s">
        <v>79</v>
      </c>
      <c r="D9" s="122">
        <v>2.7</v>
      </c>
      <c r="E9" s="58">
        <v>4</v>
      </c>
      <c r="F9" s="39"/>
      <c r="G9" s="40">
        <f t="shared" si="0"/>
        <v>10.8</v>
      </c>
    </row>
    <row r="10" spans="1:7" ht="20.100000000000001" customHeight="1" thickTop="1" thickBot="1" x14ac:dyDescent="0.35">
      <c r="A10" s="23">
        <v>8</v>
      </c>
      <c r="B10" s="56" t="s">
        <v>81</v>
      </c>
      <c r="C10" s="39" t="s">
        <v>74</v>
      </c>
      <c r="D10" s="122">
        <v>3.14</v>
      </c>
      <c r="E10" s="39">
        <v>12</v>
      </c>
      <c r="F10" s="39"/>
      <c r="G10" s="40">
        <f t="shared" si="0"/>
        <v>37.68</v>
      </c>
    </row>
    <row r="11" spans="1:7" ht="20.100000000000001" customHeight="1" thickTop="1" thickBot="1" x14ac:dyDescent="0.35">
      <c r="A11" s="23">
        <v>9</v>
      </c>
      <c r="B11" s="56" t="s">
        <v>82</v>
      </c>
      <c r="C11" s="39" t="s">
        <v>74</v>
      </c>
      <c r="D11" s="122">
        <v>3.77</v>
      </c>
      <c r="E11" s="59">
        <v>12</v>
      </c>
      <c r="F11" s="39"/>
      <c r="G11" s="40">
        <f t="shared" si="0"/>
        <v>45.24</v>
      </c>
    </row>
    <row r="12" spans="1:7" ht="20.100000000000001" customHeight="1" thickTop="1" thickBot="1" x14ac:dyDescent="0.35">
      <c r="A12" s="23">
        <v>10</v>
      </c>
      <c r="B12" s="56" t="s">
        <v>83</v>
      </c>
      <c r="C12" s="39" t="s">
        <v>84</v>
      </c>
      <c r="D12" s="122">
        <v>4.0599999999999996</v>
      </c>
      <c r="E12" s="39">
        <v>10</v>
      </c>
      <c r="F12" s="39"/>
      <c r="G12" s="40">
        <f t="shared" si="0"/>
        <v>40.599999999999994</v>
      </c>
    </row>
    <row r="13" spans="1:7" ht="20.100000000000001" customHeight="1" thickTop="1" thickBot="1" x14ac:dyDescent="0.35">
      <c r="A13" s="23">
        <v>11</v>
      </c>
      <c r="B13" s="56" t="s">
        <v>85</v>
      </c>
      <c r="C13" s="39" t="s">
        <v>86</v>
      </c>
      <c r="D13" s="122">
        <v>20.190000000000001</v>
      </c>
      <c r="E13" s="39">
        <v>3</v>
      </c>
      <c r="F13" s="39"/>
      <c r="G13" s="40">
        <f t="shared" si="0"/>
        <v>60.570000000000007</v>
      </c>
    </row>
    <row r="14" spans="1:7" ht="20.100000000000001" customHeight="1" thickTop="1" thickBot="1" x14ac:dyDescent="0.35">
      <c r="A14" s="23">
        <v>12</v>
      </c>
      <c r="B14" s="56" t="s">
        <v>87</v>
      </c>
      <c r="C14" s="39" t="s">
        <v>74</v>
      </c>
      <c r="D14" s="122">
        <v>3.59</v>
      </c>
      <c r="E14" s="39">
        <v>4</v>
      </c>
      <c r="F14" s="39"/>
      <c r="G14" s="40">
        <f t="shared" si="0"/>
        <v>14.36</v>
      </c>
    </row>
    <row r="15" spans="1:7" ht="20.100000000000001" customHeight="1" thickTop="1" thickBot="1" x14ac:dyDescent="0.35">
      <c r="A15" s="23">
        <v>13</v>
      </c>
      <c r="B15" s="39"/>
      <c r="C15" s="39"/>
      <c r="D15" s="39"/>
      <c r="E15" s="39"/>
      <c r="F15" s="39"/>
      <c r="G15" s="39"/>
    </row>
    <row r="16" spans="1:7" ht="20.100000000000001" customHeight="1" thickTop="1" thickBot="1" x14ac:dyDescent="0.35">
      <c r="A16" s="23">
        <v>14</v>
      </c>
      <c r="B16" s="39"/>
      <c r="C16" s="39"/>
      <c r="D16" s="39"/>
      <c r="E16" s="39"/>
      <c r="F16" s="39"/>
      <c r="G16" s="39"/>
    </row>
    <row r="17" spans="1:7" ht="20.100000000000001" customHeight="1" thickTop="1" thickBot="1" x14ac:dyDescent="0.35">
      <c r="A17" s="23">
        <v>15</v>
      </c>
      <c r="B17" s="39"/>
      <c r="C17" s="39"/>
      <c r="D17" s="40">
        <f>TRUNC(SUM(D3:D15),2)</f>
        <v>60.54</v>
      </c>
      <c r="E17" s="40"/>
      <c r="F17" s="40"/>
      <c r="G17" s="42">
        <f>TRUNC(SUM(G3:G14),2)</f>
        <v>396.65</v>
      </c>
    </row>
    <row r="18" spans="1:7" ht="20.100000000000001" customHeight="1" thickTop="1" thickBot="1" x14ac:dyDescent="0.35">
      <c r="A18" s="60"/>
      <c r="B18" s="60"/>
      <c r="C18" s="60"/>
      <c r="D18" s="60"/>
      <c r="E18" s="60"/>
      <c r="F18" s="60"/>
      <c r="G18" s="60"/>
    </row>
    <row r="19" spans="1:7" ht="20.100000000000001" customHeight="1" thickTop="1" thickBot="1" x14ac:dyDescent="0.35">
      <c r="A19" s="60"/>
      <c r="B19" s="60"/>
      <c r="C19" s="60"/>
      <c r="D19" s="60"/>
      <c r="E19" s="142" t="s">
        <v>88</v>
      </c>
      <c r="F19" s="144"/>
      <c r="G19" s="47">
        <f>TRUNC((G17/12),2)</f>
        <v>33.049999999999997</v>
      </c>
    </row>
    <row r="20" spans="1:7" ht="15" thickTop="1" x14ac:dyDescent="0.3">
      <c r="A20" s="52"/>
      <c r="B20" s="52"/>
      <c r="C20" s="52"/>
      <c r="D20" s="52"/>
      <c r="E20" s="52"/>
      <c r="F20" s="52"/>
      <c r="G20" s="52"/>
    </row>
    <row r="21" spans="1:7" x14ac:dyDescent="0.3">
      <c r="A21" s="52"/>
      <c r="B21" s="52"/>
      <c r="C21" s="52"/>
      <c r="D21" s="52"/>
      <c r="E21" s="52"/>
      <c r="F21" s="52"/>
      <c r="G21" s="52"/>
    </row>
    <row r="22" spans="1:7" x14ac:dyDescent="0.3">
      <c r="A22" s="8"/>
      <c r="B22" s="8"/>
      <c r="C22" s="8"/>
      <c r="D22" s="8"/>
      <c r="E22" s="8"/>
      <c r="F22" s="8"/>
      <c r="G22" s="8"/>
    </row>
    <row r="23" spans="1:7" x14ac:dyDescent="0.3">
      <c r="A23" s="8"/>
      <c r="B23" s="8"/>
      <c r="C23" s="8"/>
      <c r="D23" s="8"/>
      <c r="E23" s="8"/>
      <c r="F23" s="8"/>
      <c r="G23" s="8"/>
    </row>
    <row r="24" spans="1:7" x14ac:dyDescent="0.3">
      <c r="A24" s="8"/>
      <c r="B24" s="8"/>
      <c r="C24" s="8"/>
      <c r="D24" s="8"/>
      <c r="E24" s="8"/>
      <c r="F24" s="8"/>
      <c r="G24" s="8"/>
    </row>
    <row r="25" spans="1:7" x14ac:dyDescent="0.3">
      <c r="A25" s="8"/>
      <c r="B25" s="8"/>
      <c r="C25" s="8"/>
      <c r="D25" s="8"/>
      <c r="E25" s="8"/>
      <c r="F25" s="8"/>
      <c r="G25" s="8"/>
    </row>
    <row r="26" spans="1:7" x14ac:dyDescent="0.3">
      <c r="A26" s="8"/>
      <c r="B26" s="8"/>
      <c r="C26" s="8"/>
      <c r="D26" s="8"/>
      <c r="E26" s="8"/>
      <c r="F26" s="8"/>
      <c r="G26" s="8"/>
    </row>
    <row r="27" spans="1:7" x14ac:dyDescent="0.3">
      <c r="A27" s="8"/>
      <c r="B27" s="8"/>
      <c r="C27" s="8"/>
      <c r="D27" s="8"/>
      <c r="E27" s="8"/>
      <c r="F27" s="8"/>
      <c r="G27" s="8"/>
    </row>
    <row r="28" spans="1:7" x14ac:dyDescent="0.3">
      <c r="A28" s="8"/>
      <c r="B28" s="8"/>
      <c r="C28" s="8"/>
      <c r="D28" s="8"/>
      <c r="E28" s="8"/>
      <c r="F28" s="8"/>
      <c r="G28" s="8"/>
    </row>
    <row r="29" spans="1:7" x14ac:dyDescent="0.3">
      <c r="A29" s="8"/>
      <c r="B29" s="8"/>
      <c r="C29" s="8"/>
      <c r="D29" s="8"/>
      <c r="E29" s="8"/>
      <c r="F29" s="8"/>
      <c r="G29" s="8"/>
    </row>
    <row r="30" spans="1:7" x14ac:dyDescent="0.3">
      <c r="A30" s="8"/>
      <c r="B30" s="8"/>
      <c r="C30" s="8"/>
      <c r="D30" s="8"/>
      <c r="E30" s="8"/>
      <c r="F30" s="8"/>
      <c r="G30" s="8"/>
    </row>
    <row r="31" spans="1:7" x14ac:dyDescent="0.3">
      <c r="A31" s="8"/>
      <c r="B31" s="8"/>
      <c r="C31" s="8"/>
      <c r="D31" s="8"/>
      <c r="E31" s="8"/>
      <c r="F31" s="8"/>
      <c r="G31" s="8"/>
    </row>
    <row r="32" spans="1:7" x14ac:dyDescent="0.3">
      <c r="A32" s="8"/>
      <c r="B32" s="8"/>
      <c r="C32" s="8"/>
      <c r="D32" s="8"/>
      <c r="E32" s="8"/>
      <c r="F32" s="8"/>
      <c r="G32" s="8"/>
    </row>
    <row r="33" spans="1:7" x14ac:dyDescent="0.3">
      <c r="A33" s="8"/>
      <c r="B33" s="8"/>
      <c r="C33" s="8"/>
      <c r="D33" s="8"/>
      <c r="E33" s="8"/>
      <c r="F33" s="8"/>
      <c r="G33" s="8"/>
    </row>
    <row r="34" spans="1:7" x14ac:dyDescent="0.3">
      <c r="A34" s="8"/>
      <c r="B34" s="8"/>
      <c r="C34" s="8"/>
      <c r="D34" s="8"/>
      <c r="E34" s="8"/>
      <c r="F34" s="8"/>
      <c r="G34" s="8"/>
    </row>
  </sheetData>
  <sheetProtection sheet="1" objects="1" scenarios="1"/>
  <protectedRanges>
    <protectedRange sqref="D3:D14" name="Intervalo1"/>
  </protectedRanges>
  <mergeCells count="2">
    <mergeCell ref="A1:G1"/>
    <mergeCell ref="E19:F19"/>
  </mergeCell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999D53C-A145-4020-8304-00DD7C4C9BE0}">
  <dimension ref="A1:J76"/>
  <sheetViews>
    <sheetView zoomScale="80" zoomScaleNormal="80" workbookViewId="0">
      <selection activeCell="D14" sqref="D14"/>
    </sheetView>
  </sheetViews>
  <sheetFormatPr defaultRowHeight="14.4" x14ac:dyDescent="0.3"/>
  <cols>
    <col min="2" max="2" width="64" customWidth="1"/>
    <col min="3" max="7" width="17.109375" customWidth="1"/>
    <col min="8" max="8" width="19.33203125" customWidth="1"/>
    <col min="9" max="9" width="20.5546875" customWidth="1"/>
    <col min="10" max="10" width="30.33203125" customWidth="1"/>
  </cols>
  <sheetData>
    <row r="1" spans="1:10" s="5" customFormat="1" ht="20.100000000000001" customHeight="1" thickTop="1" thickBot="1" x14ac:dyDescent="0.35">
      <c r="A1" s="179" t="s">
        <v>66</v>
      </c>
      <c r="B1" s="180"/>
      <c r="C1" s="180"/>
      <c r="D1" s="180"/>
      <c r="E1" s="180"/>
      <c r="F1" s="180"/>
      <c r="G1" s="180"/>
      <c r="H1" s="180"/>
      <c r="I1" s="180"/>
      <c r="J1" s="181"/>
    </row>
    <row r="2" spans="1:10" ht="30" customHeight="1" thickTop="1" thickBot="1" x14ac:dyDescent="0.35">
      <c r="A2" s="55" t="s">
        <v>1</v>
      </c>
      <c r="B2" s="55" t="s">
        <v>67</v>
      </c>
      <c r="C2" s="55" t="s">
        <v>50</v>
      </c>
      <c r="D2" s="41" t="s">
        <v>34</v>
      </c>
      <c r="E2" s="41" t="s">
        <v>35</v>
      </c>
      <c r="F2" s="41" t="s">
        <v>36</v>
      </c>
      <c r="G2" s="41" t="s">
        <v>37</v>
      </c>
      <c r="H2" s="55" t="s">
        <v>89</v>
      </c>
      <c r="I2" s="55" t="s">
        <v>33</v>
      </c>
      <c r="J2" s="55" t="s">
        <v>90</v>
      </c>
    </row>
    <row r="3" spans="1:10" s="5" customFormat="1" ht="20.100000000000001" customHeight="1" thickTop="1" thickBot="1" x14ac:dyDescent="0.35">
      <c r="A3" s="23">
        <f t="shared" ref="A3:A34" si="0">ROW() - ROW($A$2)</f>
        <v>1</v>
      </c>
      <c r="B3" s="56" t="s">
        <v>91</v>
      </c>
      <c r="C3" s="39" t="s">
        <v>79</v>
      </c>
      <c r="D3" s="123">
        <v>33.979999999999997</v>
      </c>
      <c r="E3" s="40">
        <f>TRUNC((D3*'Salários.VA.VT.QteDias'!$D$48),2)</f>
        <v>3.49</v>
      </c>
      <c r="F3" s="40">
        <f>TRUNC((((D3+E3)/(1-'Salários.VA.VT.QteDias'!$D$56))*'Salários.VA.VT.QteDias'!$D$56),2)</f>
        <v>3.54</v>
      </c>
      <c r="G3" s="40">
        <f t="shared" ref="G3:G34" si="1">TRUNC((D3+E3+F3),2)</f>
        <v>41.01</v>
      </c>
      <c r="H3" s="39" t="s">
        <v>92</v>
      </c>
      <c r="I3" s="39"/>
      <c r="J3" s="40">
        <f t="shared" ref="J3:J34" si="2">TRUNC((G3*I3),2)</f>
        <v>0</v>
      </c>
    </row>
    <row r="4" spans="1:10" s="5" customFormat="1" ht="20.100000000000001" customHeight="1" thickTop="1" thickBot="1" x14ac:dyDescent="0.35">
      <c r="A4" s="23">
        <f t="shared" si="0"/>
        <v>2</v>
      </c>
      <c r="B4" s="56" t="s">
        <v>93</v>
      </c>
      <c r="C4" s="39" t="s">
        <v>79</v>
      </c>
      <c r="D4" s="123">
        <v>9.58</v>
      </c>
      <c r="E4" s="40">
        <f>TRUNC((D4*'Salários.VA.VT.QteDias'!$D$48),2)</f>
        <v>0.98</v>
      </c>
      <c r="F4" s="40">
        <f>TRUNC((((D4+E4)/(1-'Salários.VA.VT.QteDias'!$D$56))*'Salários.VA.VT.QteDias'!$D$56),2)</f>
        <v>0.99</v>
      </c>
      <c r="G4" s="40">
        <f t="shared" si="1"/>
        <v>11.55</v>
      </c>
      <c r="H4" s="39" t="s">
        <v>92</v>
      </c>
      <c r="I4" s="39"/>
      <c r="J4" s="40">
        <f t="shared" si="2"/>
        <v>0</v>
      </c>
    </row>
    <row r="5" spans="1:10" s="5" customFormat="1" ht="20.100000000000001" customHeight="1" thickTop="1" thickBot="1" x14ac:dyDescent="0.35">
      <c r="A5" s="23">
        <f t="shared" si="0"/>
        <v>3</v>
      </c>
      <c r="B5" s="56" t="s">
        <v>94</v>
      </c>
      <c r="C5" s="39" t="s">
        <v>79</v>
      </c>
      <c r="D5" s="123">
        <v>58.29</v>
      </c>
      <c r="E5" s="40">
        <f>TRUNC((D5*'Salários.VA.VT.QteDias'!$D$48),2)</f>
        <v>6</v>
      </c>
      <c r="F5" s="40">
        <f>TRUNC((((D5+E5)/(1-'Salários.VA.VT.QteDias'!$D$56))*'Salários.VA.VT.QteDias'!$D$56),2)</f>
        <v>6.08</v>
      </c>
      <c r="G5" s="40">
        <f t="shared" si="1"/>
        <v>70.37</v>
      </c>
      <c r="H5" s="39"/>
      <c r="I5" s="39">
        <v>2</v>
      </c>
      <c r="J5" s="40">
        <f t="shared" si="2"/>
        <v>140.74</v>
      </c>
    </row>
    <row r="6" spans="1:10" s="5" customFormat="1" ht="20.100000000000001" customHeight="1" thickTop="1" thickBot="1" x14ac:dyDescent="0.35">
      <c r="A6" s="23">
        <f t="shared" si="0"/>
        <v>4</v>
      </c>
      <c r="B6" s="56" t="s">
        <v>95</v>
      </c>
      <c r="C6" s="39" t="s">
        <v>79</v>
      </c>
      <c r="D6" s="123">
        <v>53.28</v>
      </c>
      <c r="E6" s="40">
        <f>TRUNC((D6*'Salários.VA.VT.QteDias'!$D$48),2)</f>
        <v>5.48</v>
      </c>
      <c r="F6" s="40">
        <f>TRUNC((((D6+E6)/(1-'Salários.VA.VT.QteDias'!$D$56))*'Salários.VA.VT.QteDias'!$D$56),2)</f>
        <v>5.56</v>
      </c>
      <c r="G6" s="40">
        <f t="shared" si="1"/>
        <v>64.319999999999993</v>
      </c>
      <c r="H6" s="39" t="s">
        <v>92</v>
      </c>
      <c r="I6" s="39"/>
      <c r="J6" s="40">
        <f t="shared" si="2"/>
        <v>0</v>
      </c>
    </row>
    <row r="7" spans="1:10" s="5" customFormat="1" ht="20.100000000000001" customHeight="1" thickTop="1" thickBot="1" x14ac:dyDescent="0.35">
      <c r="A7" s="23">
        <f t="shared" si="0"/>
        <v>5</v>
      </c>
      <c r="B7" s="56" t="s">
        <v>96</v>
      </c>
      <c r="C7" s="39" t="s">
        <v>79</v>
      </c>
      <c r="D7" s="123">
        <v>14.53</v>
      </c>
      <c r="E7" s="40">
        <f>TRUNC((D7*'Salários.VA.VT.QteDias'!$D$48),2)</f>
        <v>1.49</v>
      </c>
      <c r="F7" s="40">
        <f>TRUNC((((D7+E7)/(1-'Salários.VA.VT.QteDias'!$D$56))*'Salários.VA.VT.QteDias'!$D$56),2)</f>
        <v>1.51</v>
      </c>
      <c r="G7" s="40">
        <f t="shared" si="1"/>
        <v>17.53</v>
      </c>
      <c r="H7" s="39" t="s">
        <v>92</v>
      </c>
      <c r="I7" s="39"/>
      <c r="J7" s="40">
        <f t="shared" si="2"/>
        <v>0</v>
      </c>
    </row>
    <row r="8" spans="1:10" s="5" customFormat="1" ht="20.100000000000001" customHeight="1" thickTop="1" thickBot="1" x14ac:dyDescent="0.35">
      <c r="A8" s="23">
        <f t="shared" si="0"/>
        <v>6</v>
      </c>
      <c r="B8" s="56" t="s">
        <v>97</v>
      </c>
      <c r="C8" s="39" t="s">
        <v>79</v>
      </c>
      <c r="D8" s="123">
        <v>17.7</v>
      </c>
      <c r="E8" s="40">
        <f>TRUNC((D8*'Salários.VA.VT.QteDias'!$D$48),2)</f>
        <v>1.82</v>
      </c>
      <c r="F8" s="40">
        <f>TRUNC((((D8+E8)/(1-'Salários.VA.VT.QteDias'!$D$56))*'Salários.VA.VT.QteDias'!$D$56),2)</f>
        <v>1.84</v>
      </c>
      <c r="G8" s="40">
        <f t="shared" si="1"/>
        <v>21.36</v>
      </c>
      <c r="H8" s="58"/>
      <c r="I8" s="39">
        <v>2</v>
      </c>
      <c r="J8" s="40">
        <f t="shared" si="2"/>
        <v>42.72</v>
      </c>
    </row>
    <row r="9" spans="1:10" s="5" customFormat="1" ht="20.100000000000001" customHeight="1" thickTop="1" thickBot="1" x14ac:dyDescent="0.35">
      <c r="A9" s="23">
        <f t="shared" si="0"/>
        <v>7</v>
      </c>
      <c r="B9" s="56" t="s">
        <v>98</v>
      </c>
      <c r="C9" s="39" t="s">
        <v>79</v>
      </c>
      <c r="D9" s="123">
        <v>16.93</v>
      </c>
      <c r="E9" s="40">
        <f>TRUNC((D9*'Salários.VA.VT.QteDias'!$D$48),2)</f>
        <v>1.74</v>
      </c>
      <c r="F9" s="40">
        <f>TRUNC((((D9+E9)/(1-'Salários.VA.VT.QteDias'!$D$56))*'Salários.VA.VT.QteDias'!$D$56),2)</f>
        <v>1.76</v>
      </c>
      <c r="G9" s="40">
        <f t="shared" si="1"/>
        <v>20.43</v>
      </c>
      <c r="H9" s="39" t="s">
        <v>92</v>
      </c>
      <c r="I9" s="38"/>
      <c r="J9" s="40">
        <f t="shared" si="2"/>
        <v>0</v>
      </c>
    </row>
    <row r="10" spans="1:10" s="5" customFormat="1" ht="20.100000000000001" customHeight="1" thickTop="1" thickBot="1" x14ac:dyDescent="0.35">
      <c r="A10" s="23">
        <f t="shared" si="0"/>
        <v>8</v>
      </c>
      <c r="B10" s="56" t="s">
        <v>99</v>
      </c>
      <c r="C10" s="39" t="s">
        <v>79</v>
      </c>
      <c r="D10" s="123">
        <v>9.17</v>
      </c>
      <c r="E10" s="40">
        <f>TRUNC((D10*'Salários.VA.VT.QteDias'!$D$48),2)</f>
        <v>0.94</v>
      </c>
      <c r="F10" s="40">
        <f>TRUNC((((D10+E10)/(1-'Salários.VA.VT.QteDias'!$D$56))*'Salários.VA.VT.QteDias'!$D$56),2)</f>
        <v>0.95</v>
      </c>
      <c r="G10" s="40">
        <f t="shared" si="1"/>
        <v>11.06</v>
      </c>
      <c r="H10" s="59" t="s">
        <v>92</v>
      </c>
      <c r="I10" s="39"/>
      <c r="J10" s="40">
        <f t="shared" si="2"/>
        <v>0</v>
      </c>
    </row>
    <row r="11" spans="1:10" s="5" customFormat="1" ht="20.100000000000001" customHeight="1" thickTop="1" thickBot="1" x14ac:dyDescent="0.35">
      <c r="A11" s="23">
        <f t="shared" si="0"/>
        <v>9</v>
      </c>
      <c r="B11" s="56" t="s">
        <v>100</v>
      </c>
      <c r="C11" s="39" t="s">
        <v>79</v>
      </c>
      <c r="D11" s="123">
        <v>9.49</v>
      </c>
      <c r="E11" s="40">
        <f>TRUNC((D11*'Salários.VA.VT.QteDias'!$D$48),2)</f>
        <v>0.97</v>
      </c>
      <c r="F11" s="40">
        <f>TRUNC((((D11+E11)/(1-'Salários.VA.VT.QteDias'!$D$56))*'Salários.VA.VT.QteDias'!$D$56),2)</f>
        <v>0.99</v>
      </c>
      <c r="G11" s="40">
        <f t="shared" si="1"/>
        <v>11.45</v>
      </c>
      <c r="H11" s="39" t="s">
        <v>92</v>
      </c>
      <c r="I11" s="39"/>
      <c r="J11" s="40">
        <f t="shared" si="2"/>
        <v>0</v>
      </c>
    </row>
    <row r="12" spans="1:10" s="5" customFormat="1" ht="20.100000000000001" customHeight="1" thickTop="1" thickBot="1" x14ac:dyDescent="0.35">
      <c r="A12" s="23">
        <f t="shared" si="0"/>
        <v>10</v>
      </c>
      <c r="B12" s="56" t="s">
        <v>101</v>
      </c>
      <c r="C12" s="39" t="s">
        <v>79</v>
      </c>
      <c r="D12" s="123">
        <v>3.32</v>
      </c>
      <c r="E12" s="40">
        <f>TRUNC((D12*'Salários.VA.VT.QteDias'!$D$48),2)</f>
        <v>0.34</v>
      </c>
      <c r="F12" s="40">
        <f>TRUNC((((D12+E12)/(1-'Salários.VA.VT.QteDias'!$D$56))*'Salários.VA.VT.QteDias'!$D$56),2)</f>
        <v>0.34</v>
      </c>
      <c r="G12" s="40">
        <f t="shared" si="1"/>
        <v>4</v>
      </c>
      <c r="H12" s="39" t="s">
        <v>92</v>
      </c>
      <c r="I12" s="39"/>
      <c r="J12" s="40">
        <f t="shared" si="2"/>
        <v>0</v>
      </c>
    </row>
    <row r="13" spans="1:10" s="5" customFormat="1" ht="20.100000000000001" customHeight="1" thickTop="1" thickBot="1" x14ac:dyDescent="0.35">
      <c r="A13" s="23">
        <f t="shared" si="0"/>
        <v>11</v>
      </c>
      <c r="B13" s="56" t="s">
        <v>102</v>
      </c>
      <c r="C13" s="39" t="s">
        <v>79</v>
      </c>
      <c r="D13" s="123">
        <v>2.99</v>
      </c>
      <c r="E13" s="40">
        <f>TRUNC((D13*'Salários.VA.VT.QteDias'!$D$48),2)</f>
        <v>0.3</v>
      </c>
      <c r="F13" s="40">
        <f>TRUNC((((D13+E13)/(1-'Salários.VA.VT.QteDias'!$D$56))*'Salários.VA.VT.QteDias'!$D$56),2)</f>
        <v>0.31</v>
      </c>
      <c r="G13" s="40">
        <f t="shared" si="1"/>
        <v>3.6</v>
      </c>
      <c r="H13" s="39"/>
      <c r="I13" s="39">
        <v>10</v>
      </c>
      <c r="J13" s="40">
        <f t="shared" si="2"/>
        <v>36</v>
      </c>
    </row>
    <row r="14" spans="1:10" s="5" customFormat="1" ht="20.100000000000001" customHeight="1" thickTop="1" thickBot="1" x14ac:dyDescent="0.35">
      <c r="A14" s="23">
        <f t="shared" si="0"/>
        <v>12</v>
      </c>
      <c r="B14" s="56" t="s">
        <v>103</v>
      </c>
      <c r="C14" s="39" t="s">
        <v>79</v>
      </c>
      <c r="D14" s="123">
        <v>18.27</v>
      </c>
      <c r="E14" s="40">
        <f>TRUNC((D14*'Salários.VA.VT.QteDias'!$D$48),2)</f>
        <v>1.88</v>
      </c>
      <c r="F14" s="40">
        <f>TRUNC((((D14+E14)/(1-'Salários.VA.VT.QteDias'!$D$56))*'Salários.VA.VT.QteDias'!$D$56),2)</f>
        <v>1.9</v>
      </c>
      <c r="G14" s="40">
        <f t="shared" si="1"/>
        <v>22.05</v>
      </c>
      <c r="H14" s="39"/>
      <c r="I14" s="39">
        <v>1</v>
      </c>
      <c r="J14" s="40">
        <f t="shared" si="2"/>
        <v>22.05</v>
      </c>
    </row>
    <row r="15" spans="1:10" s="5" customFormat="1" ht="20.100000000000001" customHeight="1" thickTop="1" thickBot="1" x14ac:dyDescent="0.35">
      <c r="A15" s="23">
        <f t="shared" si="0"/>
        <v>13</v>
      </c>
      <c r="B15" s="56" t="s">
        <v>104</v>
      </c>
      <c r="C15" s="39" t="s">
        <v>79</v>
      </c>
      <c r="D15" s="123">
        <v>2.52</v>
      </c>
      <c r="E15" s="40">
        <f>TRUNC((D15*'Salários.VA.VT.QteDias'!$D$48),2)</f>
        <v>0.25</v>
      </c>
      <c r="F15" s="40">
        <f>TRUNC((((D15+E15)/(1-'Salários.VA.VT.QteDias'!$D$56))*'Salários.VA.VT.QteDias'!$D$56),2)</f>
        <v>0.26</v>
      </c>
      <c r="G15" s="40">
        <f t="shared" si="1"/>
        <v>3.03</v>
      </c>
      <c r="H15" s="39" t="s">
        <v>92</v>
      </c>
      <c r="I15" s="39"/>
      <c r="J15" s="40">
        <f t="shared" si="2"/>
        <v>0</v>
      </c>
    </row>
    <row r="16" spans="1:10" s="5" customFormat="1" ht="20.100000000000001" customHeight="1" thickTop="1" thickBot="1" x14ac:dyDescent="0.35">
      <c r="A16" s="23">
        <f t="shared" si="0"/>
        <v>14</v>
      </c>
      <c r="B16" s="56" t="s">
        <v>105</v>
      </c>
      <c r="C16" s="39" t="s">
        <v>79</v>
      </c>
      <c r="D16" s="123">
        <v>17.36</v>
      </c>
      <c r="E16" s="40">
        <f>TRUNC((D16*'Salários.VA.VT.QteDias'!$D$48),2)</f>
        <v>1.78</v>
      </c>
      <c r="F16" s="40">
        <f>TRUNC((((D16+E16)/(1-'Salários.VA.VT.QteDias'!$D$56))*'Salários.VA.VT.QteDias'!$D$56),2)</f>
        <v>1.81</v>
      </c>
      <c r="G16" s="40">
        <f t="shared" si="1"/>
        <v>20.95</v>
      </c>
      <c r="H16" s="39" t="s">
        <v>92</v>
      </c>
      <c r="I16" s="39"/>
      <c r="J16" s="40">
        <f t="shared" si="2"/>
        <v>0</v>
      </c>
    </row>
    <row r="17" spans="1:10" s="5" customFormat="1" ht="20.100000000000001" customHeight="1" thickTop="1" thickBot="1" x14ac:dyDescent="0.35">
      <c r="A17" s="23">
        <f t="shared" si="0"/>
        <v>15</v>
      </c>
      <c r="B17" s="56" t="s">
        <v>106</v>
      </c>
      <c r="C17" s="39" t="s">
        <v>107</v>
      </c>
      <c r="D17" s="123">
        <v>48.27</v>
      </c>
      <c r="E17" s="40">
        <f>TRUNC((D17*'Salários.VA.VT.QteDias'!$D$48),2)</f>
        <v>4.97</v>
      </c>
      <c r="F17" s="40">
        <f>TRUNC((((D17+E17)/(1-'Salários.VA.VT.QteDias'!$D$56))*'Salários.VA.VT.QteDias'!$D$56),2)</f>
        <v>5.04</v>
      </c>
      <c r="G17" s="40">
        <f t="shared" si="1"/>
        <v>58.28</v>
      </c>
      <c r="H17" s="39"/>
      <c r="I17" s="39">
        <v>1</v>
      </c>
      <c r="J17" s="40">
        <f t="shared" si="2"/>
        <v>58.28</v>
      </c>
    </row>
    <row r="18" spans="1:10" s="5" customFormat="1" ht="20.100000000000001" customHeight="1" thickTop="1" thickBot="1" x14ac:dyDescent="0.35">
      <c r="A18" s="23">
        <f t="shared" si="0"/>
        <v>16</v>
      </c>
      <c r="B18" s="56" t="s">
        <v>108</v>
      </c>
      <c r="C18" s="39" t="s">
        <v>79</v>
      </c>
      <c r="D18" s="123">
        <v>4.3</v>
      </c>
      <c r="E18" s="40">
        <f>TRUNC((D18*'Salários.VA.VT.QteDias'!$D$48),2)</f>
        <v>0.44</v>
      </c>
      <c r="F18" s="40">
        <f>TRUNC((((D18+E18)/(1-'Salários.VA.VT.QteDias'!$D$56))*'Salários.VA.VT.QteDias'!$D$56),2)</f>
        <v>0.44</v>
      </c>
      <c r="G18" s="40">
        <f t="shared" si="1"/>
        <v>5.18</v>
      </c>
      <c r="H18" s="39"/>
      <c r="I18" s="39">
        <v>10</v>
      </c>
      <c r="J18" s="40">
        <f t="shared" si="2"/>
        <v>51.8</v>
      </c>
    </row>
    <row r="19" spans="1:10" s="5" customFormat="1" ht="20.100000000000001" customHeight="1" thickTop="1" thickBot="1" x14ac:dyDescent="0.35">
      <c r="A19" s="23">
        <f t="shared" si="0"/>
        <v>17</v>
      </c>
      <c r="B19" s="56" t="s">
        <v>109</v>
      </c>
      <c r="C19" s="39" t="s">
        <v>74</v>
      </c>
      <c r="D19" s="123">
        <v>2.56</v>
      </c>
      <c r="E19" s="40">
        <f>TRUNC((D19*'Salários.VA.VT.QteDias'!$D$48),2)</f>
        <v>0.26</v>
      </c>
      <c r="F19" s="40">
        <f>TRUNC((((D19+E19)/(1-'Salários.VA.VT.QteDias'!$D$56))*'Salários.VA.VT.QteDias'!$D$56),2)</f>
        <v>0.26</v>
      </c>
      <c r="G19" s="40">
        <f t="shared" si="1"/>
        <v>3.08</v>
      </c>
      <c r="H19" s="39"/>
      <c r="I19" s="39">
        <v>12</v>
      </c>
      <c r="J19" s="40">
        <f t="shared" si="2"/>
        <v>36.96</v>
      </c>
    </row>
    <row r="20" spans="1:10" s="5" customFormat="1" ht="20.100000000000001" customHeight="1" thickTop="1" thickBot="1" x14ac:dyDescent="0.35">
      <c r="A20" s="23">
        <f t="shared" si="0"/>
        <v>18</v>
      </c>
      <c r="B20" s="56" t="s">
        <v>110</v>
      </c>
      <c r="C20" s="39" t="s">
        <v>74</v>
      </c>
      <c r="D20" s="123">
        <v>7.18</v>
      </c>
      <c r="E20" s="40">
        <f>TRUNC((D20*'Salários.VA.VT.QteDias'!$D$48),2)</f>
        <v>0.73</v>
      </c>
      <c r="F20" s="40">
        <f>TRUNC((((D20+E20)/(1-'Salários.VA.VT.QteDias'!$D$56))*'Salários.VA.VT.QteDias'!$D$56),2)</f>
        <v>0.74</v>
      </c>
      <c r="G20" s="40">
        <f t="shared" si="1"/>
        <v>8.65</v>
      </c>
      <c r="H20" s="39" t="s">
        <v>92</v>
      </c>
      <c r="I20" s="39"/>
      <c r="J20" s="40">
        <f t="shared" si="2"/>
        <v>0</v>
      </c>
    </row>
    <row r="21" spans="1:10" s="5" customFormat="1" ht="20.100000000000001" customHeight="1" thickTop="1" thickBot="1" x14ac:dyDescent="0.35">
      <c r="A21" s="23">
        <f t="shared" si="0"/>
        <v>19</v>
      </c>
      <c r="B21" s="56" t="s">
        <v>111</v>
      </c>
      <c r="C21" s="39" t="s">
        <v>74</v>
      </c>
      <c r="D21" s="123">
        <v>6.19</v>
      </c>
      <c r="E21" s="40">
        <f>TRUNC((D21*'Salários.VA.VT.QteDias'!$D$48),2)</f>
        <v>0.63</v>
      </c>
      <c r="F21" s="40">
        <f>TRUNC((((D21+E21)/(1-'Salários.VA.VT.QteDias'!$D$56))*'Salários.VA.VT.QteDias'!$D$56),2)</f>
        <v>0.64</v>
      </c>
      <c r="G21" s="40">
        <f t="shared" si="1"/>
        <v>7.46</v>
      </c>
      <c r="H21" s="39"/>
      <c r="I21" s="39">
        <v>48</v>
      </c>
      <c r="J21" s="40">
        <f t="shared" si="2"/>
        <v>358.08</v>
      </c>
    </row>
    <row r="22" spans="1:10" s="5" customFormat="1" ht="20.100000000000001" customHeight="1" thickTop="1" thickBot="1" x14ac:dyDescent="0.35">
      <c r="A22" s="23">
        <f t="shared" si="0"/>
        <v>20</v>
      </c>
      <c r="B22" s="56" t="s">
        <v>112</v>
      </c>
      <c r="C22" s="39" t="s">
        <v>74</v>
      </c>
      <c r="D22" s="123">
        <v>7.68</v>
      </c>
      <c r="E22" s="40">
        <f>TRUNC((D22*'Salários.VA.VT.QteDias'!$D$48),2)</f>
        <v>0.79</v>
      </c>
      <c r="F22" s="40">
        <f>TRUNC((((D22+E22)/(1-'Salários.VA.VT.QteDias'!$D$56))*'Salários.VA.VT.QteDias'!$D$56),2)</f>
        <v>0.8</v>
      </c>
      <c r="G22" s="40">
        <f t="shared" si="1"/>
        <v>9.27</v>
      </c>
      <c r="H22" s="39" t="s">
        <v>92</v>
      </c>
      <c r="I22" s="39"/>
      <c r="J22" s="40">
        <f t="shared" si="2"/>
        <v>0</v>
      </c>
    </row>
    <row r="23" spans="1:10" s="5" customFormat="1" ht="20.100000000000001" customHeight="1" thickTop="1" thickBot="1" x14ac:dyDescent="0.35">
      <c r="A23" s="23">
        <f t="shared" si="0"/>
        <v>21</v>
      </c>
      <c r="B23" s="56" t="s">
        <v>113</v>
      </c>
      <c r="C23" s="39" t="s">
        <v>79</v>
      </c>
      <c r="D23" s="123">
        <v>41.31</v>
      </c>
      <c r="E23" s="40">
        <f>TRUNC((D23*'Salários.VA.VT.QteDias'!$D$48),2)</f>
        <v>4.25</v>
      </c>
      <c r="F23" s="40">
        <f>TRUNC((((D23+E23)/(1-'Salários.VA.VT.QteDias'!$D$56))*'Salários.VA.VT.QteDias'!$D$56),2)</f>
        <v>4.3099999999999996</v>
      </c>
      <c r="G23" s="40">
        <f t="shared" si="1"/>
        <v>49.87</v>
      </c>
      <c r="H23" s="39"/>
      <c r="I23" s="39">
        <v>1</v>
      </c>
      <c r="J23" s="40">
        <f t="shared" si="2"/>
        <v>49.87</v>
      </c>
    </row>
    <row r="24" spans="1:10" s="5" customFormat="1" ht="20.100000000000001" customHeight="1" thickTop="1" thickBot="1" x14ac:dyDescent="0.35">
      <c r="A24" s="23">
        <f t="shared" si="0"/>
        <v>22</v>
      </c>
      <c r="B24" s="56" t="s">
        <v>114</v>
      </c>
      <c r="C24" s="39" t="s">
        <v>79</v>
      </c>
      <c r="D24" s="123">
        <v>28.81</v>
      </c>
      <c r="E24" s="40">
        <f>TRUNC((D24*'Salários.VA.VT.QteDias'!$D$48),2)</f>
        <v>2.96</v>
      </c>
      <c r="F24" s="40">
        <f>TRUNC((((D24+E24)/(1-'Salários.VA.VT.QteDias'!$D$56))*'Salários.VA.VT.QteDias'!$D$56),2)</f>
        <v>3</v>
      </c>
      <c r="G24" s="40">
        <f t="shared" si="1"/>
        <v>34.770000000000003</v>
      </c>
      <c r="H24" s="39" t="s">
        <v>92</v>
      </c>
      <c r="I24" s="39"/>
      <c r="J24" s="40">
        <f t="shared" si="2"/>
        <v>0</v>
      </c>
    </row>
    <row r="25" spans="1:10" s="5" customFormat="1" ht="20.100000000000001" customHeight="1" thickTop="1" thickBot="1" x14ac:dyDescent="0.35">
      <c r="A25" s="23">
        <f t="shared" si="0"/>
        <v>23</v>
      </c>
      <c r="B25" s="56" t="s">
        <v>115</v>
      </c>
      <c r="C25" s="39" t="s">
        <v>79</v>
      </c>
      <c r="D25" s="123">
        <v>87.5</v>
      </c>
      <c r="E25" s="40">
        <f>TRUNC((D25*'Salários.VA.VT.QteDias'!$D$48),2)</f>
        <v>9.01</v>
      </c>
      <c r="F25" s="40">
        <f>TRUNC((((D25+E25)/(1-'Salários.VA.VT.QteDias'!$D$56))*'Salários.VA.VT.QteDias'!$D$56),2)</f>
        <v>9.1300000000000008</v>
      </c>
      <c r="G25" s="40">
        <f t="shared" si="1"/>
        <v>105.64</v>
      </c>
      <c r="H25" s="39"/>
      <c r="I25" s="39">
        <v>1</v>
      </c>
      <c r="J25" s="40">
        <f t="shared" si="2"/>
        <v>105.64</v>
      </c>
    </row>
    <row r="26" spans="1:10" s="5" customFormat="1" ht="20.100000000000001" customHeight="1" thickTop="1" thickBot="1" x14ac:dyDescent="0.35">
      <c r="A26" s="23">
        <f t="shared" si="0"/>
        <v>24</v>
      </c>
      <c r="B26" s="56" t="s">
        <v>116</v>
      </c>
      <c r="C26" s="39" t="s">
        <v>79</v>
      </c>
      <c r="D26" s="123">
        <v>14.33</v>
      </c>
      <c r="E26" s="40">
        <f>TRUNC((D26*'Salários.VA.VT.QteDias'!$D$48),2)</f>
        <v>1.47</v>
      </c>
      <c r="F26" s="40">
        <f>TRUNC((((D26+E26)/(1-'Salários.VA.VT.QteDias'!$D$56))*'Salários.VA.VT.QteDias'!$D$56),2)</f>
        <v>1.49</v>
      </c>
      <c r="G26" s="40">
        <f t="shared" si="1"/>
        <v>17.29</v>
      </c>
      <c r="H26" s="39"/>
      <c r="I26" s="39">
        <v>2</v>
      </c>
      <c r="J26" s="40">
        <f t="shared" si="2"/>
        <v>34.58</v>
      </c>
    </row>
    <row r="27" spans="1:10" s="5" customFormat="1" ht="20.100000000000001" customHeight="1" thickTop="1" thickBot="1" x14ac:dyDescent="0.35">
      <c r="A27" s="23">
        <f t="shared" si="0"/>
        <v>25</v>
      </c>
      <c r="B27" s="56" t="s">
        <v>117</v>
      </c>
      <c r="C27" s="39" t="s">
        <v>79</v>
      </c>
      <c r="D27" s="123">
        <v>9.4600000000000009</v>
      </c>
      <c r="E27" s="40">
        <f>TRUNC((D27*'Salários.VA.VT.QteDias'!$D$48),2)</f>
        <v>0.97</v>
      </c>
      <c r="F27" s="40">
        <f>TRUNC((((D27+E27)/(1-'Salários.VA.VT.QteDias'!$D$56))*'Salários.VA.VT.QteDias'!$D$56),2)</f>
        <v>0.98</v>
      </c>
      <c r="G27" s="40">
        <f t="shared" si="1"/>
        <v>11.41</v>
      </c>
      <c r="H27" s="39" t="s">
        <v>92</v>
      </c>
      <c r="I27" s="39"/>
      <c r="J27" s="40">
        <f t="shared" si="2"/>
        <v>0</v>
      </c>
    </row>
    <row r="28" spans="1:10" s="5" customFormat="1" ht="20.100000000000001" customHeight="1" thickTop="1" thickBot="1" x14ac:dyDescent="0.35">
      <c r="A28" s="23">
        <f t="shared" si="0"/>
        <v>26</v>
      </c>
      <c r="B28" s="56" t="s">
        <v>118</v>
      </c>
      <c r="C28" s="39" t="s">
        <v>79</v>
      </c>
      <c r="D28" s="123">
        <v>62.87</v>
      </c>
      <c r="E28" s="40">
        <f>TRUNC((D28*'Salários.VA.VT.QteDias'!$D$48),2)</f>
        <v>6.47</v>
      </c>
      <c r="F28" s="40">
        <f>TRUNC((((D28+E28)/(1-'Salários.VA.VT.QteDias'!$D$56))*'Salários.VA.VT.QteDias'!$D$56),2)</f>
        <v>6.56</v>
      </c>
      <c r="G28" s="40">
        <f t="shared" si="1"/>
        <v>75.900000000000006</v>
      </c>
      <c r="H28" s="39" t="s">
        <v>92</v>
      </c>
      <c r="I28" s="39"/>
      <c r="J28" s="40">
        <f t="shared" si="2"/>
        <v>0</v>
      </c>
    </row>
    <row r="29" spans="1:10" s="5" customFormat="1" ht="20.100000000000001" customHeight="1" thickTop="1" thickBot="1" x14ac:dyDescent="0.35">
      <c r="A29" s="23">
        <f t="shared" si="0"/>
        <v>27</v>
      </c>
      <c r="B29" s="56" t="s">
        <v>119</v>
      </c>
      <c r="C29" s="39" t="s">
        <v>79</v>
      </c>
      <c r="D29" s="123">
        <v>1.93</v>
      </c>
      <c r="E29" s="40">
        <f>TRUNC((D29*'Salários.VA.VT.QteDias'!$D$48),2)</f>
        <v>0.19</v>
      </c>
      <c r="F29" s="40">
        <f>TRUNC((((D29+E29)/(1-'Salários.VA.VT.QteDias'!$D$56))*'Salários.VA.VT.QteDias'!$D$56),2)</f>
        <v>0.2</v>
      </c>
      <c r="G29" s="40">
        <f t="shared" si="1"/>
        <v>2.3199999999999998</v>
      </c>
      <c r="H29" s="39"/>
      <c r="I29" s="39">
        <v>10</v>
      </c>
      <c r="J29" s="40">
        <f t="shared" si="2"/>
        <v>23.2</v>
      </c>
    </row>
    <row r="30" spans="1:10" s="5" customFormat="1" ht="20.100000000000001" customHeight="1" thickTop="1" thickBot="1" x14ac:dyDescent="0.35">
      <c r="A30" s="23">
        <f t="shared" si="0"/>
        <v>28</v>
      </c>
      <c r="B30" s="56" t="s">
        <v>120</v>
      </c>
      <c r="C30" s="39" t="s">
        <v>79</v>
      </c>
      <c r="D30" s="123">
        <v>25.46</v>
      </c>
      <c r="E30" s="40">
        <f>TRUNC((D30*'Salários.VA.VT.QteDias'!$D$48),2)</f>
        <v>2.62</v>
      </c>
      <c r="F30" s="40">
        <f>TRUNC((((D30+E30)/(1-'Salários.VA.VT.QteDias'!$D$56))*'Salários.VA.VT.QteDias'!$D$56),2)</f>
        <v>2.65</v>
      </c>
      <c r="G30" s="40">
        <f t="shared" si="1"/>
        <v>30.73</v>
      </c>
      <c r="H30" s="39" t="s">
        <v>92</v>
      </c>
      <c r="I30" s="39"/>
      <c r="J30" s="40">
        <f t="shared" si="2"/>
        <v>0</v>
      </c>
    </row>
    <row r="31" spans="1:10" s="5" customFormat="1" ht="20.100000000000001" customHeight="1" thickTop="1" thickBot="1" x14ac:dyDescent="0.35">
      <c r="A31" s="23">
        <f t="shared" si="0"/>
        <v>29</v>
      </c>
      <c r="B31" s="56" t="s">
        <v>121</v>
      </c>
      <c r="C31" s="39" t="s">
        <v>79</v>
      </c>
      <c r="D31" s="123">
        <v>4.62</v>
      </c>
      <c r="E31" s="40">
        <f>TRUNC((D31*'Salários.VA.VT.QteDias'!$D$48),2)</f>
        <v>0.47</v>
      </c>
      <c r="F31" s="40">
        <f>TRUNC((((D31+E31)/(1-'Salários.VA.VT.QteDias'!$D$56))*'Salários.VA.VT.QteDias'!$D$56),2)</f>
        <v>0.48</v>
      </c>
      <c r="G31" s="40">
        <f t="shared" si="1"/>
        <v>5.57</v>
      </c>
      <c r="H31" s="39" t="s">
        <v>92</v>
      </c>
      <c r="I31" s="39"/>
      <c r="J31" s="40">
        <f t="shared" si="2"/>
        <v>0</v>
      </c>
    </row>
    <row r="32" spans="1:10" s="5" customFormat="1" ht="20.100000000000001" customHeight="1" thickTop="1" thickBot="1" x14ac:dyDescent="0.35">
      <c r="A32" s="23">
        <f t="shared" si="0"/>
        <v>30</v>
      </c>
      <c r="B32" s="56" t="s">
        <v>122</v>
      </c>
      <c r="C32" s="39" t="s">
        <v>74</v>
      </c>
      <c r="D32" s="123">
        <v>5.33</v>
      </c>
      <c r="E32" s="40">
        <f>TRUNC((D32*'Salários.VA.VT.QteDias'!$D$48),2)</f>
        <v>0.54</v>
      </c>
      <c r="F32" s="40">
        <f>TRUNC((((D32+E32)/(1-'Salários.VA.VT.QteDias'!$D$56))*'Salários.VA.VT.QteDias'!$D$56),2)</f>
        <v>0.55000000000000004</v>
      </c>
      <c r="G32" s="40">
        <f t="shared" si="1"/>
        <v>6.42</v>
      </c>
      <c r="H32" s="39"/>
      <c r="I32" s="39">
        <v>12</v>
      </c>
      <c r="J32" s="40">
        <f t="shared" si="2"/>
        <v>77.040000000000006</v>
      </c>
    </row>
    <row r="33" spans="1:10" s="5" customFormat="1" ht="20.100000000000001" customHeight="1" thickTop="1" thickBot="1" x14ac:dyDescent="0.35">
      <c r="A33" s="23">
        <f t="shared" si="0"/>
        <v>31</v>
      </c>
      <c r="B33" s="56" t="s">
        <v>123</v>
      </c>
      <c r="C33" s="39" t="s">
        <v>124</v>
      </c>
      <c r="D33" s="123">
        <v>3.45</v>
      </c>
      <c r="E33" s="40">
        <f>TRUNC((D33*'Salários.VA.VT.QteDias'!$D$48),2)</f>
        <v>0.35</v>
      </c>
      <c r="F33" s="40">
        <f>TRUNC((((D33+E33)/(1-'Salários.VA.VT.QteDias'!$D$56))*'Salários.VA.VT.QteDias'!$D$56),2)</f>
        <v>0.35</v>
      </c>
      <c r="G33" s="40">
        <f t="shared" si="1"/>
        <v>4.1500000000000004</v>
      </c>
      <c r="H33" s="39"/>
      <c r="I33" s="39">
        <v>10</v>
      </c>
      <c r="J33" s="40">
        <f t="shared" si="2"/>
        <v>41.5</v>
      </c>
    </row>
    <row r="34" spans="1:10" s="5" customFormat="1" ht="20.100000000000001" customHeight="1" thickTop="1" thickBot="1" x14ac:dyDescent="0.35">
      <c r="A34" s="23">
        <f t="shared" si="0"/>
        <v>32</v>
      </c>
      <c r="B34" s="56" t="s">
        <v>125</v>
      </c>
      <c r="C34" s="39" t="s">
        <v>124</v>
      </c>
      <c r="D34" s="123">
        <v>3.44</v>
      </c>
      <c r="E34" s="40">
        <f>TRUNC((D34*'Salários.VA.VT.QteDias'!$D$48),2)</f>
        <v>0.35</v>
      </c>
      <c r="F34" s="40">
        <f>TRUNC((((D34+E34)/(1-'Salários.VA.VT.QteDias'!$D$56))*'Salários.VA.VT.QteDias'!$D$56),2)</f>
        <v>0.35</v>
      </c>
      <c r="G34" s="40">
        <f t="shared" si="1"/>
        <v>4.1399999999999997</v>
      </c>
      <c r="H34" s="39" t="s">
        <v>92</v>
      </c>
      <c r="I34" s="39"/>
      <c r="J34" s="40">
        <f t="shared" si="2"/>
        <v>0</v>
      </c>
    </row>
    <row r="35" spans="1:10" s="5" customFormat="1" ht="20.100000000000001" customHeight="1" thickTop="1" thickBot="1" x14ac:dyDescent="0.35">
      <c r="A35" s="23">
        <f t="shared" ref="A35:A64" si="3">ROW() - ROW($A$2)</f>
        <v>33</v>
      </c>
      <c r="B35" s="56" t="s">
        <v>126</v>
      </c>
      <c r="C35" s="39" t="s">
        <v>124</v>
      </c>
      <c r="D35" s="123">
        <v>97.21</v>
      </c>
      <c r="E35" s="40">
        <f>TRUNC((D35*'Salários.VA.VT.QteDias'!$D$48),2)</f>
        <v>10.01</v>
      </c>
      <c r="F35" s="40">
        <f>TRUNC((((D35+E35)/(1-'Salários.VA.VT.QteDias'!$D$56))*'Salários.VA.VT.QteDias'!$D$56),2)</f>
        <v>10.15</v>
      </c>
      <c r="G35" s="40">
        <f t="shared" ref="G35:G61" si="4">TRUNC((D35+E35+F35),2)</f>
        <v>117.37</v>
      </c>
      <c r="H35" s="39"/>
      <c r="I35" s="39">
        <v>1</v>
      </c>
      <c r="J35" s="40">
        <f t="shared" ref="J35:J61" si="5">TRUNC((G35*I35),2)</f>
        <v>117.37</v>
      </c>
    </row>
    <row r="36" spans="1:10" s="5" customFormat="1" ht="20.100000000000001" customHeight="1" thickTop="1" thickBot="1" x14ac:dyDescent="0.35">
      <c r="A36" s="23">
        <f t="shared" si="3"/>
        <v>34</v>
      </c>
      <c r="B36" s="56" t="s">
        <v>127</v>
      </c>
      <c r="C36" s="39" t="s">
        <v>124</v>
      </c>
      <c r="D36" s="123">
        <v>121.57</v>
      </c>
      <c r="E36" s="40">
        <f>TRUNC((D36*'Salários.VA.VT.QteDias'!$D$48),2)</f>
        <v>12.52</v>
      </c>
      <c r="F36" s="40">
        <f>TRUNC((((D36+E36)/(1-'Salários.VA.VT.QteDias'!$D$56))*'Salários.VA.VT.QteDias'!$D$56),2)</f>
        <v>12.69</v>
      </c>
      <c r="G36" s="40">
        <f t="shared" si="4"/>
        <v>146.78</v>
      </c>
      <c r="H36" s="39" t="s">
        <v>92</v>
      </c>
      <c r="I36" s="39"/>
      <c r="J36" s="40">
        <f t="shared" si="5"/>
        <v>0</v>
      </c>
    </row>
    <row r="37" spans="1:10" s="5" customFormat="1" ht="20.100000000000001" customHeight="1" thickTop="1" thickBot="1" x14ac:dyDescent="0.35">
      <c r="A37" s="39">
        <f t="shared" si="3"/>
        <v>35</v>
      </c>
      <c r="B37" s="56" t="s">
        <v>128</v>
      </c>
      <c r="C37" s="39" t="s">
        <v>124</v>
      </c>
      <c r="D37" s="123">
        <v>131.30000000000001</v>
      </c>
      <c r="E37" s="40">
        <f>TRUNC((D37*'Salários.VA.VT.QteDias'!$D$48),2)</f>
        <v>13.52</v>
      </c>
      <c r="F37" s="40">
        <f>TRUNC((((D37+E37)/(1-'Salários.VA.VT.QteDias'!$D$56))*'Salários.VA.VT.QteDias'!$D$56),2)</f>
        <v>13.71</v>
      </c>
      <c r="G37" s="40">
        <f t="shared" si="4"/>
        <v>158.53</v>
      </c>
      <c r="H37" s="39" t="s">
        <v>92</v>
      </c>
      <c r="I37" s="39"/>
      <c r="J37" s="40">
        <f t="shared" si="5"/>
        <v>0</v>
      </c>
    </row>
    <row r="38" spans="1:10" s="5" customFormat="1" ht="20.100000000000001" customHeight="1" thickTop="1" thickBot="1" x14ac:dyDescent="0.35">
      <c r="A38" s="39">
        <f t="shared" si="3"/>
        <v>36</v>
      </c>
      <c r="B38" s="56" t="s">
        <v>129</v>
      </c>
      <c r="C38" s="39" t="s">
        <v>74</v>
      </c>
      <c r="D38" s="123">
        <v>5.38</v>
      </c>
      <c r="E38" s="40">
        <f>TRUNC((D38*'Salários.VA.VT.QteDias'!$D$48),2)</f>
        <v>0.55000000000000004</v>
      </c>
      <c r="F38" s="40">
        <f>TRUNC((((D38+E38)/(1-'Salários.VA.VT.QteDias'!$D$56))*'Salários.VA.VT.QteDias'!$D$56),2)</f>
        <v>0.56000000000000005</v>
      </c>
      <c r="G38" s="40">
        <f t="shared" si="4"/>
        <v>6.49</v>
      </c>
      <c r="H38" s="39"/>
      <c r="I38" s="39">
        <v>12</v>
      </c>
      <c r="J38" s="40">
        <f t="shared" si="5"/>
        <v>77.88</v>
      </c>
    </row>
    <row r="39" spans="1:10" s="5" customFormat="1" ht="20.100000000000001" customHeight="1" thickTop="1" thickBot="1" x14ac:dyDescent="0.35">
      <c r="A39" s="39">
        <f t="shared" si="3"/>
        <v>37</v>
      </c>
      <c r="B39" s="62" t="s">
        <v>130</v>
      </c>
      <c r="C39" s="39" t="s">
        <v>79</v>
      </c>
      <c r="D39" s="123">
        <v>2.11</v>
      </c>
      <c r="E39" s="40">
        <f>TRUNC((D39*'Salários.VA.VT.QteDias'!$D$48),2)</f>
        <v>0.21</v>
      </c>
      <c r="F39" s="40">
        <f>TRUNC((((D39+E39)/(1-'Salários.VA.VT.QteDias'!$D$56))*'Salários.VA.VT.QteDias'!$D$56),2)</f>
        <v>0.21</v>
      </c>
      <c r="G39" s="40">
        <f t="shared" si="4"/>
        <v>2.5299999999999998</v>
      </c>
      <c r="H39" s="39" t="s">
        <v>92</v>
      </c>
      <c r="I39" s="39"/>
      <c r="J39" s="40">
        <f t="shared" si="5"/>
        <v>0</v>
      </c>
    </row>
    <row r="40" spans="1:10" s="5" customFormat="1" ht="20.100000000000001" customHeight="1" thickTop="1" thickBot="1" x14ac:dyDescent="0.35">
      <c r="A40" s="39">
        <f t="shared" si="3"/>
        <v>38</v>
      </c>
      <c r="B40" s="63" t="s">
        <v>131</v>
      </c>
      <c r="C40" s="39" t="s">
        <v>79</v>
      </c>
      <c r="D40" s="123">
        <v>4.1900000000000004</v>
      </c>
      <c r="E40" s="40">
        <f>TRUNC((D40*'Salários.VA.VT.QteDias'!$D$48),2)</f>
        <v>0.43</v>
      </c>
      <c r="F40" s="40">
        <f>TRUNC((((D40+E40)/(1-'Salários.VA.VT.QteDias'!$D$56))*'Salários.VA.VT.QteDias'!$D$56),2)</f>
        <v>0.43</v>
      </c>
      <c r="G40" s="40">
        <f t="shared" si="4"/>
        <v>5.05</v>
      </c>
      <c r="H40" s="39" t="s">
        <v>92</v>
      </c>
      <c r="I40" s="39"/>
      <c r="J40" s="40">
        <f t="shared" si="5"/>
        <v>0</v>
      </c>
    </row>
    <row r="41" spans="1:10" s="5" customFormat="1" ht="20.100000000000001" customHeight="1" thickTop="1" thickBot="1" x14ac:dyDescent="0.35">
      <c r="A41" s="39">
        <f t="shared" si="3"/>
        <v>39</v>
      </c>
      <c r="B41" s="64" t="s">
        <v>132</v>
      </c>
      <c r="C41" s="39" t="s">
        <v>79</v>
      </c>
      <c r="D41" s="123">
        <v>24.1</v>
      </c>
      <c r="E41" s="40">
        <f>TRUNC((D41*'Salários.VA.VT.QteDias'!$D$48),2)</f>
        <v>2.48</v>
      </c>
      <c r="F41" s="40">
        <f>TRUNC((((D41+E41)/(1-'Salários.VA.VT.QteDias'!$D$56))*'Salários.VA.VT.QteDias'!$D$56),2)</f>
        <v>2.5099999999999998</v>
      </c>
      <c r="G41" s="40">
        <f t="shared" si="4"/>
        <v>29.09</v>
      </c>
      <c r="H41" s="39" t="s">
        <v>92</v>
      </c>
      <c r="I41" s="39"/>
      <c r="J41" s="40">
        <f t="shared" si="5"/>
        <v>0</v>
      </c>
    </row>
    <row r="42" spans="1:10" s="5" customFormat="1" ht="20.100000000000001" customHeight="1" thickTop="1" thickBot="1" x14ac:dyDescent="0.35">
      <c r="A42" s="39">
        <f t="shared" si="3"/>
        <v>40</v>
      </c>
      <c r="B42" s="56" t="s">
        <v>133</v>
      </c>
      <c r="C42" s="39" t="s">
        <v>79</v>
      </c>
      <c r="D42" s="123">
        <v>76.55</v>
      </c>
      <c r="E42" s="40">
        <f>TRUNC((D42*'Salários.VA.VT.QteDias'!$D$48),2)</f>
        <v>7.88</v>
      </c>
      <c r="F42" s="40">
        <f>TRUNC((((D42+E42)/(1-'Salários.VA.VT.QteDias'!$D$56))*'Salários.VA.VT.QteDias'!$D$56),2)</f>
        <v>7.99</v>
      </c>
      <c r="G42" s="40">
        <f t="shared" si="4"/>
        <v>92.42</v>
      </c>
      <c r="H42" s="39"/>
      <c r="I42" s="39">
        <v>1</v>
      </c>
      <c r="J42" s="40">
        <f t="shared" si="5"/>
        <v>92.42</v>
      </c>
    </row>
    <row r="43" spans="1:10" s="5" customFormat="1" ht="20.100000000000001" customHeight="1" thickTop="1" thickBot="1" x14ac:dyDescent="0.35">
      <c r="A43" s="39">
        <f t="shared" si="3"/>
        <v>41</v>
      </c>
      <c r="B43" s="56" t="s">
        <v>134</v>
      </c>
      <c r="C43" s="39" t="s">
        <v>135</v>
      </c>
      <c r="D43" s="123">
        <v>50.65</v>
      </c>
      <c r="E43" s="40">
        <f>TRUNC((D43*'Salários.VA.VT.QteDias'!$D$48),2)</f>
        <v>5.21</v>
      </c>
      <c r="F43" s="40">
        <f>TRUNC((((D43+E43)/(1-'Salários.VA.VT.QteDias'!$D$56))*'Salários.VA.VT.QteDias'!$D$56),2)</f>
        <v>5.28</v>
      </c>
      <c r="G43" s="40">
        <f t="shared" si="4"/>
        <v>61.14</v>
      </c>
      <c r="H43" s="39"/>
      <c r="I43" s="39">
        <v>1</v>
      </c>
      <c r="J43" s="40">
        <f t="shared" si="5"/>
        <v>61.14</v>
      </c>
    </row>
    <row r="44" spans="1:10" s="5" customFormat="1" ht="20.100000000000001" customHeight="1" thickTop="1" thickBot="1" x14ac:dyDescent="0.35">
      <c r="A44" s="39">
        <f t="shared" si="3"/>
        <v>42</v>
      </c>
      <c r="B44" s="56" t="s">
        <v>136</v>
      </c>
      <c r="C44" s="39" t="s">
        <v>79</v>
      </c>
      <c r="D44" s="123">
        <v>50.3</v>
      </c>
      <c r="E44" s="40">
        <f>TRUNC((D44*'Salários.VA.VT.QteDias'!$D$48),2)</f>
        <v>5.18</v>
      </c>
      <c r="F44" s="40">
        <f>TRUNC((((D44+E44)/(1-'Salários.VA.VT.QteDias'!$D$56))*'Salários.VA.VT.QteDias'!$D$56),2)</f>
        <v>5.25</v>
      </c>
      <c r="G44" s="40">
        <f t="shared" si="4"/>
        <v>60.73</v>
      </c>
      <c r="H44" s="39"/>
      <c r="I44" s="39">
        <v>1</v>
      </c>
      <c r="J44" s="40">
        <f t="shared" si="5"/>
        <v>60.73</v>
      </c>
    </row>
    <row r="45" spans="1:10" s="5" customFormat="1" ht="20.100000000000001" customHeight="1" thickTop="1" thickBot="1" x14ac:dyDescent="0.35">
      <c r="A45" s="39">
        <f t="shared" si="3"/>
        <v>43</v>
      </c>
      <c r="B45" s="56" t="s">
        <v>137</v>
      </c>
      <c r="C45" s="39" t="s">
        <v>79</v>
      </c>
      <c r="D45" s="123">
        <v>17.68</v>
      </c>
      <c r="E45" s="40">
        <f>TRUNC((D45*'Salários.VA.VT.QteDias'!$D$48),2)</f>
        <v>1.82</v>
      </c>
      <c r="F45" s="40">
        <f>TRUNC((((D45+E45)/(1-'Salários.VA.VT.QteDias'!$D$56))*'Salários.VA.VT.QteDias'!$D$56),2)</f>
        <v>1.84</v>
      </c>
      <c r="G45" s="40">
        <f t="shared" si="4"/>
        <v>21.34</v>
      </c>
      <c r="H45" s="39"/>
      <c r="I45" s="39">
        <v>1</v>
      </c>
      <c r="J45" s="40">
        <f t="shared" si="5"/>
        <v>21.34</v>
      </c>
    </row>
    <row r="46" spans="1:10" s="5" customFormat="1" ht="20.100000000000001" customHeight="1" thickTop="1" thickBot="1" x14ac:dyDescent="0.35">
      <c r="A46" s="39">
        <f t="shared" si="3"/>
        <v>44</v>
      </c>
      <c r="B46" s="56" t="s">
        <v>138</v>
      </c>
      <c r="C46" s="39" t="s">
        <v>79</v>
      </c>
      <c r="D46" s="123">
        <v>93.47</v>
      </c>
      <c r="E46" s="40">
        <f>TRUNC((D46*'Salários.VA.VT.QteDias'!$D$48),2)</f>
        <v>9.6199999999999992</v>
      </c>
      <c r="F46" s="40">
        <f>TRUNC((((D46+E46)/(1-'Salários.VA.VT.QteDias'!$D$56))*'Salários.VA.VT.QteDias'!$D$56),2)</f>
        <v>9.76</v>
      </c>
      <c r="G46" s="40">
        <f t="shared" si="4"/>
        <v>112.85</v>
      </c>
      <c r="H46" s="39" t="s">
        <v>92</v>
      </c>
      <c r="I46" s="39"/>
      <c r="J46" s="40">
        <f t="shared" si="5"/>
        <v>0</v>
      </c>
    </row>
    <row r="47" spans="1:10" s="5" customFormat="1" ht="20.100000000000001" customHeight="1" thickTop="1" thickBot="1" x14ac:dyDescent="0.35">
      <c r="A47" s="39">
        <f t="shared" si="3"/>
        <v>45</v>
      </c>
      <c r="B47" s="56" t="s">
        <v>139</v>
      </c>
      <c r="C47" s="39" t="s">
        <v>79</v>
      </c>
      <c r="D47" s="123">
        <v>18.54</v>
      </c>
      <c r="E47" s="40">
        <f>TRUNC((D47*'Salários.VA.VT.QteDias'!$D$48),2)</f>
        <v>1.9</v>
      </c>
      <c r="F47" s="40">
        <f>TRUNC((((D47+E47)/(1-'Salários.VA.VT.QteDias'!$D$56))*'Salários.VA.VT.QteDias'!$D$56),2)</f>
        <v>1.93</v>
      </c>
      <c r="G47" s="40">
        <f t="shared" si="4"/>
        <v>22.37</v>
      </c>
      <c r="H47" s="39"/>
      <c r="I47" s="39">
        <v>10</v>
      </c>
      <c r="J47" s="40">
        <f t="shared" si="5"/>
        <v>223.7</v>
      </c>
    </row>
    <row r="48" spans="1:10" s="5" customFormat="1" ht="20.100000000000001" customHeight="1" thickTop="1" thickBot="1" x14ac:dyDescent="0.35">
      <c r="A48" s="39">
        <f t="shared" si="3"/>
        <v>46</v>
      </c>
      <c r="B48" s="56" t="s">
        <v>140</v>
      </c>
      <c r="C48" s="39" t="s">
        <v>74</v>
      </c>
      <c r="D48" s="123">
        <v>4.95</v>
      </c>
      <c r="E48" s="40">
        <f>TRUNC((D48*'Salários.VA.VT.QteDias'!$D$48),2)</f>
        <v>0.5</v>
      </c>
      <c r="F48" s="40">
        <f>TRUNC((((D48+E48)/(1-'Salários.VA.VT.QteDias'!$D$56))*'Salários.VA.VT.QteDias'!$D$56),2)</f>
        <v>0.51</v>
      </c>
      <c r="G48" s="40">
        <f t="shared" si="4"/>
        <v>5.96</v>
      </c>
      <c r="H48" s="39" t="s">
        <v>92</v>
      </c>
      <c r="I48" s="39"/>
      <c r="J48" s="40">
        <f t="shared" si="5"/>
        <v>0</v>
      </c>
    </row>
    <row r="49" spans="1:10" s="5" customFormat="1" ht="20.100000000000001" customHeight="1" thickTop="1" thickBot="1" x14ac:dyDescent="0.35">
      <c r="A49" s="39">
        <f t="shared" si="3"/>
        <v>47</v>
      </c>
      <c r="B49" s="63" t="s">
        <v>141</v>
      </c>
      <c r="C49" s="39" t="s">
        <v>79</v>
      </c>
      <c r="D49" s="123">
        <v>8.1199999999999992</v>
      </c>
      <c r="E49" s="40">
        <f>TRUNC((D49*'Salários.VA.VT.QteDias'!$D$48),2)</f>
        <v>0.83</v>
      </c>
      <c r="F49" s="40">
        <f>TRUNC((((D49+E49)/(1-'Salários.VA.VT.QteDias'!$D$56))*'Salários.VA.VT.QteDias'!$D$56),2)</f>
        <v>0.84</v>
      </c>
      <c r="G49" s="40">
        <f t="shared" si="4"/>
        <v>9.7899999999999991</v>
      </c>
      <c r="H49" s="39" t="s">
        <v>92</v>
      </c>
      <c r="I49" s="39"/>
      <c r="J49" s="40">
        <f t="shared" si="5"/>
        <v>0</v>
      </c>
    </row>
    <row r="50" spans="1:10" s="5" customFormat="1" ht="20.100000000000001" customHeight="1" thickTop="1" thickBot="1" x14ac:dyDescent="0.35">
      <c r="A50" s="39">
        <f t="shared" si="3"/>
        <v>48</v>
      </c>
      <c r="B50" s="56" t="s">
        <v>142</v>
      </c>
      <c r="C50" s="39" t="s">
        <v>79</v>
      </c>
      <c r="D50" s="123">
        <v>3.42</v>
      </c>
      <c r="E50" s="40">
        <f>TRUNC((D50*'Salários.VA.VT.QteDias'!$D$48),2)</f>
        <v>0.35</v>
      </c>
      <c r="F50" s="40">
        <f>TRUNC((((D50+E50)/(1-'Salários.VA.VT.QteDias'!$D$56))*'Salários.VA.VT.QteDias'!$D$56),2)</f>
        <v>0.35</v>
      </c>
      <c r="G50" s="40">
        <f t="shared" si="4"/>
        <v>4.12</v>
      </c>
      <c r="H50" s="39"/>
      <c r="I50" s="39">
        <v>12</v>
      </c>
      <c r="J50" s="40">
        <f t="shared" si="5"/>
        <v>49.44</v>
      </c>
    </row>
    <row r="51" spans="1:10" s="5" customFormat="1" ht="20.100000000000001" customHeight="1" thickTop="1" thickBot="1" x14ac:dyDescent="0.35">
      <c r="A51" s="39">
        <f t="shared" si="3"/>
        <v>49</v>
      </c>
      <c r="B51" s="62" t="s">
        <v>143</v>
      </c>
      <c r="C51" s="39" t="s">
        <v>79</v>
      </c>
      <c r="D51" s="123">
        <v>4.66</v>
      </c>
      <c r="E51" s="40">
        <f>TRUNC((D51*'Salários.VA.VT.QteDias'!$D$48),2)</f>
        <v>0.47</v>
      </c>
      <c r="F51" s="40">
        <f>TRUNC((((D51+E51)/(1-'Salários.VA.VT.QteDias'!$D$56))*'Salários.VA.VT.QteDias'!$D$56),2)</f>
        <v>0.48</v>
      </c>
      <c r="G51" s="40">
        <f t="shared" si="4"/>
        <v>5.61</v>
      </c>
      <c r="H51" s="39" t="s">
        <v>92</v>
      </c>
      <c r="I51" s="39"/>
      <c r="J51" s="40">
        <f t="shared" si="5"/>
        <v>0</v>
      </c>
    </row>
    <row r="52" spans="1:10" s="5" customFormat="1" ht="20.100000000000001" customHeight="1" thickTop="1" thickBot="1" x14ac:dyDescent="0.35">
      <c r="A52" s="39">
        <f t="shared" si="3"/>
        <v>50</v>
      </c>
      <c r="B52" s="63" t="s">
        <v>144</v>
      </c>
      <c r="C52" s="39" t="s">
        <v>79</v>
      </c>
      <c r="D52" s="123">
        <v>5.76</v>
      </c>
      <c r="E52" s="40">
        <f>TRUNC((D52*'Salários.VA.VT.QteDias'!$D$48),2)</f>
        <v>0.59</v>
      </c>
      <c r="F52" s="40">
        <f>TRUNC((((D52+E52)/(1-'Salários.VA.VT.QteDias'!$D$56))*'Salários.VA.VT.QteDias'!$D$56),2)</f>
        <v>0.6</v>
      </c>
      <c r="G52" s="40">
        <f t="shared" si="4"/>
        <v>6.95</v>
      </c>
      <c r="H52" s="39" t="s">
        <v>92</v>
      </c>
      <c r="I52" s="39"/>
      <c r="J52" s="40">
        <f t="shared" si="5"/>
        <v>0</v>
      </c>
    </row>
    <row r="53" spans="1:10" s="5" customFormat="1" ht="20.100000000000001" customHeight="1" thickTop="1" thickBot="1" x14ac:dyDescent="0.35">
      <c r="A53" s="39">
        <f t="shared" si="3"/>
        <v>51</v>
      </c>
      <c r="B53" s="56" t="s">
        <v>145</v>
      </c>
      <c r="C53" s="39" t="s">
        <v>79</v>
      </c>
      <c r="D53" s="123">
        <v>24.12</v>
      </c>
      <c r="E53" s="40">
        <f>TRUNC((D53*'Salários.VA.VT.QteDias'!$D$48),2)</f>
        <v>2.48</v>
      </c>
      <c r="F53" s="40">
        <f>TRUNC((((D53+E53)/(1-'Salários.VA.VT.QteDias'!$D$56))*'Salários.VA.VT.QteDias'!$D$56),2)</f>
        <v>2.5099999999999998</v>
      </c>
      <c r="G53" s="40">
        <f t="shared" si="4"/>
        <v>29.11</v>
      </c>
      <c r="H53" s="39"/>
      <c r="I53" s="39">
        <v>1</v>
      </c>
      <c r="J53" s="40">
        <f t="shared" si="5"/>
        <v>29.11</v>
      </c>
    </row>
    <row r="54" spans="1:10" s="5" customFormat="1" ht="20.100000000000001" customHeight="1" thickTop="1" thickBot="1" x14ac:dyDescent="0.35">
      <c r="A54" s="39">
        <f t="shared" si="3"/>
        <v>52</v>
      </c>
      <c r="B54" s="56" t="s">
        <v>146</v>
      </c>
      <c r="C54" s="39" t="s">
        <v>79</v>
      </c>
      <c r="D54" s="123">
        <v>5.63</v>
      </c>
      <c r="E54" s="40">
        <f>TRUNC((D54*'Salários.VA.VT.QteDias'!$D$48),2)</f>
        <v>0.56999999999999995</v>
      </c>
      <c r="F54" s="40">
        <f>TRUNC((((D54+E54)/(1-'Salários.VA.VT.QteDias'!$D$56))*'Salários.VA.VT.QteDias'!$D$56),2)</f>
        <v>0.57999999999999996</v>
      </c>
      <c r="G54" s="40">
        <f t="shared" si="4"/>
        <v>6.78</v>
      </c>
      <c r="H54" s="39"/>
      <c r="I54" s="39">
        <v>10</v>
      </c>
      <c r="J54" s="40">
        <f t="shared" si="5"/>
        <v>67.8</v>
      </c>
    </row>
    <row r="55" spans="1:10" s="5" customFormat="1" ht="20.100000000000001" customHeight="1" thickTop="1" thickBot="1" x14ac:dyDescent="0.35">
      <c r="A55" s="39">
        <f t="shared" si="3"/>
        <v>53</v>
      </c>
      <c r="B55" s="63" t="s">
        <v>147</v>
      </c>
      <c r="C55" s="39" t="s">
        <v>79</v>
      </c>
      <c r="D55" s="123">
        <v>59.14</v>
      </c>
      <c r="E55" s="40">
        <f>TRUNC((D55*'Salários.VA.VT.QteDias'!$D$48),2)</f>
        <v>6.09</v>
      </c>
      <c r="F55" s="40">
        <f>TRUNC((((D55+E55)/(1-'Salários.VA.VT.QteDias'!$D$56))*'Salários.VA.VT.QteDias'!$D$56),2)</f>
        <v>6.17</v>
      </c>
      <c r="G55" s="40">
        <f t="shared" si="4"/>
        <v>71.400000000000006</v>
      </c>
      <c r="H55" s="39" t="s">
        <v>92</v>
      </c>
      <c r="I55" s="39"/>
      <c r="J55" s="40">
        <f t="shared" si="5"/>
        <v>0</v>
      </c>
    </row>
    <row r="56" spans="1:10" s="5" customFormat="1" ht="20.100000000000001" customHeight="1" thickTop="1" thickBot="1" x14ac:dyDescent="0.35">
      <c r="A56" s="39">
        <f t="shared" si="3"/>
        <v>54</v>
      </c>
      <c r="B56" s="56" t="s">
        <v>148</v>
      </c>
      <c r="C56" s="39" t="s">
        <v>74</v>
      </c>
      <c r="D56" s="123">
        <v>10.67</v>
      </c>
      <c r="E56" s="40">
        <f>TRUNC((D56*'Salários.VA.VT.QteDias'!$D$48),2)</f>
        <v>1.0900000000000001</v>
      </c>
      <c r="F56" s="40">
        <f>TRUNC((((D56+E56)/(1-'Salários.VA.VT.QteDias'!$D$56))*'Salários.VA.VT.QteDias'!$D$56),2)</f>
        <v>1.1100000000000001</v>
      </c>
      <c r="G56" s="40">
        <f t="shared" si="4"/>
        <v>12.87</v>
      </c>
      <c r="H56" s="39" t="s">
        <v>92</v>
      </c>
      <c r="I56" s="39"/>
      <c r="J56" s="40">
        <f t="shared" si="5"/>
        <v>0</v>
      </c>
    </row>
    <row r="57" spans="1:10" s="5" customFormat="1" ht="20.100000000000001" customHeight="1" thickTop="1" thickBot="1" x14ac:dyDescent="0.35">
      <c r="A57" s="39">
        <f t="shared" si="3"/>
        <v>55</v>
      </c>
      <c r="B57" s="56" t="s">
        <v>149</v>
      </c>
      <c r="C57" s="39" t="s">
        <v>79</v>
      </c>
      <c r="D57" s="123">
        <v>17.63</v>
      </c>
      <c r="E57" s="40">
        <f>TRUNC((D57*'Salários.VA.VT.QteDias'!$D$48),2)</f>
        <v>1.81</v>
      </c>
      <c r="F57" s="40">
        <f>TRUNC((((D57+E57)/(1-'Salários.VA.VT.QteDias'!$D$56))*'Salários.VA.VT.QteDias'!$D$56),2)</f>
        <v>1.84</v>
      </c>
      <c r="G57" s="40">
        <f t="shared" si="4"/>
        <v>21.28</v>
      </c>
      <c r="H57" s="39"/>
      <c r="I57" s="39">
        <v>4</v>
      </c>
      <c r="J57" s="40">
        <f t="shared" si="5"/>
        <v>85.12</v>
      </c>
    </row>
    <row r="58" spans="1:10" s="5" customFormat="1" ht="20.100000000000001" customHeight="1" thickTop="1" thickBot="1" x14ac:dyDescent="0.35">
      <c r="A58" s="39">
        <f t="shared" si="3"/>
        <v>56</v>
      </c>
      <c r="B58" s="56" t="s">
        <v>150</v>
      </c>
      <c r="C58" s="39" t="s">
        <v>79</v>
      </c>
      <c r="D58" s="123">
        <v>236.91</v>
      </c>
      <c r="E58" s="40">
        <f>TRUNC((D58*'Salários.VA.VT.QteDias'!$D$48),2)</f>
        <v>24.4</v>
      </c>
      <c r="F58" s="40">
        <f>TRUNC((((D58+E58)/(1-'Salários.VA.VT.QteDias'!$D$56))*'Salários.VA.VT.QteDias'!$D$56),2)</f>
        <v>24.74</v>
      </c>
      <c r="G58" s="40">
        <f t="shared" si="4"/>
        <v>286.05</v>
      </c>
      <c r="H58" s="39"/>
      <c r="I58" s="39">
        <v>6</v>
      </c>
      <c r="J58" s="40">
        <f t="shared" si="5"/>
        <v>1716.3</v>
      </c>
    </row>
    <row r="59" spans="1:10" s="5" customFormat="1" ht="20.100000000000001" customHeight="1" thickTop="1" thickBot="1" x14ac:dyDescent="0.35">
      <c r="A59" s="39">
        <f t="shared" si="3"/>
        <v>57</v>
      </c>
      <c r="B59" s="56" t="s">
        <v>151</v>
      </c>
      <c r="C59" s="39" t="s">
        <v>107</v>
      </c>
      <c r="D59" s="123">
        <v>12.11</v>
      </c>
      <c r="E59" s="40">
        <f>TRUNC((D59*'Salários.VA.VT.QteDias'!$D$48),2)</f>
        <v>1.24</v>
      </c>
      <c r="F59" s="40">
        <f>TRUNC((((D59+E59)/(1-'Salários.VA.VT.QteDias'!$D$56))*'Salários.VA.VT.QteDias'!$D$56),2)</f>
        <v>1.26</v>
      </c>
      <c r="G59" s="40">
        <f t="shared" si="4"/>
        <v>14.61</v>
      </c>
      <c r="H59" s="39"/>
      <c r="I59" s="39">
        <v>10</v>
      </c>
      <c r="J59" s="40">
        <f t="shared" si="5"/>
        <v>146.1</v>
      </c>
    </row>
    <row r="60" spans="1:10" s="5" customFormat="1" ht="20.100000000000001" customHeight="1" thickTop="1" thickBot="1" x14ac:dyDescent="0.35">
      <c r="A60" s="39">
        <f t="shared" si="3"/>
        <v>58</v>
      </c>
      <c r="B60" s="56" t="s">
        <v>152</v>
      </c>
      <c r="C60" s="39" t="s">
        <v>107</v>
      </c>
      <c r="D60" s="123">
        <v>19.64</v>
      </c>
      <c r="E60" s="40">
        <f>TRUNC((D60*'Salários.VA.VT.QteDias'!$D$48),2)</f>
        <v>2.02</v>
      </c>
      <c r="F60" s="40">
        <f>TRUNC((((D60+E60)/(1-'Salários.VA.VT.QteDias'!$D$56))*'Salários.VA.VT.QteDias'!$D$56),2)</f>
        <v>2.0499999999999998</v>
      </c>
      <c r="G60" s="40">
        <f t="shared" si="4"/>
        <v>23.71</v>
      </c>
      <c r="H60" s="39" t="s">
        <v>92</v>
      </c>
      <c r="I60" s="39"/>
      <c r="J60" s="40">
        <f t="shared" si="5"/>
        <v>0</v>
      </c>
    </row>
    <row r="61" spans="1:10" s="5" customFormat="1" ht="20.100000000000001" customHeight="1" thickTop="1" thickBot="1" x14ac:dyDescent="0.35">
      <c r="A61" s="39">
        <f t="shared" si="3"/>
        <v>59</v>
      </c>
      <c r="B61" s="56" t="s">
        <v>153</v>
      </c>
      <c r="C61" s="39" t="s">
        <v>107</v>
      </c>
      <c r="D61" s="123">
        <v>23.91</v>
      </c>
      <c r="E61" s="40">
        <f>TRUNC((D61*'Salários.VA.VT.QteDias'!$D$48),2)</f>
        <v>2.46</v>
      </c>
      <c r="F61" s="40">
        <f>TRUNC((((D61+E61)/(1-'Salários.VA.VT.QteDias'!$D$56))*'Salários.VA.VT.QteDias'!$D$56),2)</f>
        <v>2.4900000000000002</v>
      </c>
      <c r="G61" s="40">
        <f t="shared" si="4"/>
        <v>28.86</v>
      </c>
      <c r="H61" s="39" t="s">
        <v>92</v>
      </c>
      <c r="I61" s="39"/>
      <c r="J61" s="40">
        <f t="shared" si="5"/>
        <v>0</v>
      </c>
    </row>
    <row r="62" spans="1:10" s="5" customFormat="1" ht="20.100000000000001" customHeight="1" thickTop="1" thickBot="1" x14ac:dyDescent="0.35">
      <c r="A62" s="39">
        <f t="shared" si="3"/>
        <v>60</v>
      </c>
      <c r="B62" s="56"/>
      <c r="C62" s="39"/>
      <c r="D62" s="39"/>
      <c r="E62" s="39"/>
      <c r="F62" s="39"/>
      <c r="G62" s="39"/>
      <c r="H62" s="39"/>
      <c r="I62" s="39"/>
      <c r="J62" s="39"/>
    </row>
    <row r="63" spans="1:10" s="5" customFormat="1" ht="20.100000000000001" customHeight="1" x14ac:dyDescent="0.3">
      <c r="A63" s="39">
        <f t="shared" si="3"/>
        <v>61</v>
      </c>
      <c r="B63" s="56"/>
      <c r="C63" s="39"/>
      <c r="D63" s="39"/>
      <c r="E63" s="39"/>
      <c r="F63" s="39"/>
      <c r="G63" s="39"/>
      <c r="H63" s="39"/>
      <c r="I63" s="39"/>
      <c r="J63" s="39"/>
    </row>
    <row r="64" spans="1:10" s="5" customFormat="1" ht="20.100000000000001" customHeight="1" x14ac:dyDescent="0.3">
      <c r="A64" s="39">
        <f t="shared" si="3"/>
        <v>62</v>
      </c>
      <c r="B64" s="56"/>
      <c r="C64" s="39"/>
      <c r="D64" s="42">
        <f>TRUNC(SUM(D3:D62),2)</f>
        <v>1761.82</v>
      </c>
      <c r="E64" s="42">
        <f>TRUNC(SUM(E3:E62),2)</f>
        <v>181.16</v>
      </c>
      <c r="F64" s="42">
        <f>TRUNC(SUM(F3:F62),2)</f>
        <v>183.65</v>
      </c>
      <c r="G64" s="42">
        <f>TRUNC(SUM(G3:G62),2)</f>
        <v>2126.63</v>
      </c>
      <c r="H64" s="39"/>
      <c r="I64" s="39"/>
      <c r="J64" s="42">
        <f>TRUNC(SUM(J3:J62),2)</f>
        <v>3826.91</v>
      </c>
    </row>
    <row r="65" spans="1:10" s="5" customFormat="1" ht="20.100000000000001" customHeight="1" x14ac:dyDescent="0.3">
      <c r="A65" s="60"/>
      <c r="B65" s="60"/>
      <c r="C65" s="60"/>
      <c r="D65" s="60"/>
      <c r="E65" s="60"/>
      <c r="F65" s="60"/>
      <c r="G65" s="60"/>
      <c r="H65" s="60"/>
      <c r="I65" s="60"/>
      <c r="J65" s="60"/>
    </row>
    <row r="66" spans="1:10" s="5" customFormat="1" ht="20.100000000000001" customHeight="1" thickBot="1" x14ac:dyDescent="0.35">
      <c r="A66" s="60"/>
      <c r="B66" s="60"/>
      <c r="C66" s="60"/>
      <c r="D66" s="60"/>
      <c r="E66" s="60"/>
      <c r="F66" s="60"/>
      <c r="G66" s="60"/>
      <c r="H66" s="60"/>
      <c r="I66" s="60"/>
      <c r="J66" s="60"/>
    </row>
    <row r="67" spans="1:10" s="5" customFormat="1" ht="20.100000000000001" customHeight="1" thickTop="1" thickBot="1" x14ac:dyDescent="0.35">
      <c r="A67" s="51"/>
      <c r="B67" s="51"/>
      <c r="C67" s="51"/>
      <c r="D67" s="51"/>
      <c r="E67" s="51"/>
      <c r="F67" s="51"/>
      <c r="G67" s="51"/>
      <c r="H67" s="142" t="s">
        <v>88</v>
      </c>
      <c r="I67" s="144"/>
      <c r="J67" s="47">
        <f>TRUNC((J64/12),2)</f>
        <v>318.89999999999998</v>
      </c>
    </row>
    <row r="68" spans="1:10" s="5" customFormat="1" ht="20.100000000000001" customHeight="1" thickTop="1" x14ac:dyDescent="0.3">
      <c r="A68" s="51"/>
      <c r="B68" s="51"/>
      <c r="C68" s="51"/>
      <c r="D68" s="51"/>
      <c r="E68" s="51"/>
      <c r="F68" s="51"/>
      <c r="G68" s="51"/>
      <c r="H68" s="51"/>
      <c r="I68" s="51"/>
      <c r="J68" s="51"/>
    </row>
    <row r="69" spans="1:10" s="5" customFormat="1" ht="20.100000000000001" customHeight="1" x14ac:dyDescent="0.3">
      <c r="A69" s="9"/>
      <c r="B69" s="9"/>
      <c r="C69" s="9"/>
      <c r="D69" s="9"/>
      <c r="E69" s="9"/>
      <c r="F69" s="9"/>
      <c r="G69" s="9"/>
      <c r="H69" s="9"/>
      <c r="I69" s="9"/>
      <c r="J69" s="9"/>
    </row>
    <row r="70" spans="1:10" s="5" customFormat="1" ht="20.100000000000001" customHeight="1" x14ac:dyDescent="0.3">
      <c r="A70" s="9"/>
      <c r="B70" s="9"/>
      <c r="C70" s="9"/>
      <c r="D70" s="9"/>
      <c r="E70" s="9"/>
      <c r="F70" s="9"/>
      <c r="G70" s="9"/>
      <c r="H70" s="9"/>
      <c r="I70" s="9"/>
      <c r="J70" s="9"/>
    </row>
    <row r="71" spans="1:10" s="5" customFormat="1" ht="20.100000000000001" customHeight="1" x14ac:dyDescent="0.3">
      <c r="A71" s="9"/>
      <c r="B71" s="9"/>
      <c r="C71" s="9"/>
      <c r="D71" s="9"/>
      <c r="E71" s="9"/>
      <c r="F71" s="9"/>
      <c r="G71" s="9"/>
      <c r="H71" s="9"/>
      <c r="I71" s="9"/>
      <c r="J71" s="9"/>
    </row>
    <row r="72" spans="1:10" s="5" customFormat="1" ht="20.100000000000001" customHeight="1" x14ac:dyDescent="0.3">
      <c r="A72" s="9"/>
      <c r="B72" s="9"/>
      <c r="C72" s="9"/>
      <c r="D72" s="9"/>
      <c r="E72" s="9"/>
      <c r="F72" s="9"/>
      <c r="G72" s="9"/>
      <c r="H72" s="9"/>
      <c r="I72" s="9"/>
      <c r="J72" s="9"/>
    </row>
    <row r="73" spans="1:10" x14ac:dyDescent="0.3">
      <c r="A73" s="8"/>
      <c r="B73" s="8"/>
      <c r="C73" s="8"/>
      <c r="D73" s="8"/>
      <c r="E73" s="8"/>
      <c r="F73" s="8"/>
      <c r="G73" s="8"/>
      <c r="H73" s="8"/>
      <c r="I73" s="8"/>
      <c r="J73" s="8"/>
    </row>
    <row r="74" spans="1:10" x14ac:dyDescent="0.3">
      <c r="A74" s="8"/>
      <c r="B74" s="8"/>
      <c r="C74" s="8"/>
      <c r="D74" s="8"/>
      <c r="E74" s="8"/>
      <c r="F74" s="8"/>
      <c r="G74" s="8"/>
      <c r="H74" s="8"/>
      <c r="I74" s="8"/>
      <c r="J74" s="8"/>
    </row>
    <row r="75" spans="1:10" x14ac:dyDescent="0.3">
      <c r="A75" s="8"/>
      <c r="B75" s="8"/>
      <c r="C75" s="8"/>
      <c r="D75" s="8"/>
      <c r="E75" s="8"/>
      <c r="F75" s="8"/>
      <c r="G75" s="8"/>
      <c r="H75" s="8"/>
      <c r="I75" s="8"/>
      <c r="J75" s="8"/>
    </row>
    <row r="76" spans="1:10" x14ac:dyDescent="0.3">
      <c r="A76" s="8"/>
      <c r="B76" s="8"/>
      <c r="C76" s="8"/>
      <c r="D76" s="8"/>
      <c r="E76" s="8"/>
      <c r="F76" s="8"/>
      <c r="G76" s="8"/>
      <c r="H76" s="8"/>
      <c r="I76" s="8"/>
      <c r="J76" s="8"/>
    </row>
  </sheetData>
  <sheetProtection sheet="1" objects="1" scenarios="1"/>
  <protectedRanges>
    <protectedRange sqref="D3:D61" name="Intervalo1"/>
  </protectedRanges>
  <mergeCells count="2">
    <mergeCell ref="A1:J1"/>
    <mergeCell ref="H67:I67"/>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14</vt:i4>
      </vt:variant>
      <vt:variant>
        <vt:lpstr>Intervalos Nomeados</vt:lpstr>
      </vt:variant>
      <vt:variant>
        <vt:i4>2</vt:i4>
      </vt:variant>
    </vt:vector>
  </HeadingPairs>
  <TitlesOfParts>
    <vt:vector size="16" baseType="lpstr">
      <vt:lpstr>INSTRUÇOES PARA PREENCHIMENTO</vt:lpstr>
      <vt:lpstr>Proposta de Preços</vt:lpstr>
      <vt:lpstr>NP</vt:lpstr>
      <vt:lpstr>PC</vt:lpstr>
      <vt:lpstr>Salários.VA.VT.QteDias</vt:lpstr>
      <vt:lpstr>Gás</vt:lpstr>
      <vt:lpstr>GA</vt:lpstr>
      <vt:lpstr>MLHCC - Ônus da Contratada</vt:lpstr>
      <vt:lpstr>MCC - Sob Demanda</vt:lpstr>
      <vt:lpstr>MLPH</vt:lpstr>
      <vt:lpstr>Unif</vt:lpstr>
      <vt:lpstr>EPI´s - LC</vt:lpstr>
      <vt:lpstr>AAII</vt:lpstr>
      <vt:lpstr>SLCeCopeiragem</vt:lpstr>
      <vt:lpstr>'INSTRUÇOES PARA PREENCHIMENTO'!Area_de_impressao</vt:lpstr>
      <vt:lpstr>'INSTRUÇOES PARA PREENCHIMENTO'!Print_Area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Lyuity Yokoyama</dc:creator>
  <cp:keywords/>
  <dc:description/>
  <cp:lastModifiedBy>Jefferson Feijó</cp:lastModifiedBy>
  <cp:revision/>
  <dcterms:created xsi:type="dcterms:W3CDTF">2024-07-11T20:10:42Z</dcterms:created>
  <dcterms:modified xsi:type="dcterms:W3CDTF">2025-06-17T14:36:25Z</dcterms:modified>
  <cp:category/>
  <cp:contentStatus/>
</cp:coreProperties>
</file>